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📘 Instruções" sheetId="1" state="visible" r:id="rId3"/>
    <sheet name="⚙️ Parâmetros" sheetId="2" state="visible" r:id="rId4"/>
    <sheet name="🏷️ Precificação" sheetId="3" state="visible" r:id="rId5"/>
    <sheet name="💰 Fluxo de Caixa" sheetId="4" state="visible" r:id="rId6"/>
    <sheet name="📊 DRE Mensal" sheetId="5" state="visible" r:id="rId7"/>
    <sheet name="🔄 Conciliação" sheetId="6" state="visible" r:id="rId8"/>
    <sheet name="📈 Dashboard" sheetId="7" state="visible" r:id="rId9"/>
  </sheets>
  <definedNames>
    <definedName function="false" hidden="false" name="Aliquota_Impostos" vbProcedure="false">'⚙️ Parâmetros'!$C$7</definedName>
    <definedName function="false" hidden="false" name="Tabela_Canais" vbProcedure="false">'⚙️ Parâmetros'!$B$11:$H$17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Opções: Simples Nacional, Lucro Presumido, Lucro Real, MEI</t>
        </r>
      </text>
    </comment>
    <comment ref="B7" authorId="0">
      <text>
        <r>
          <rPr>
            <sz val="10"/>
            <rFont val="Arial"/>
            <family val="2"/>
          </rPr>
          <t xml:space="preserve">Simples (Anexo I): ~4% a 19% | Presumido: ~11,33% a 16,33% | MEI: valor fixo mensal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L7" authorId="0">
      <text>
        <r>
          <rPr>
            <sz val="10"/>
            <rFont val="Arial"/>
            <family val="2"/>
          </rPr>
          <t xml:space="preserve">Preço que você cobra hoje (ou pretende cobrar) no produto. A planilha mostra abaixo: (1) o preço SUGERIDO em cada canal pra atingir sua margem alvo, (2) a margem REAL caso você venda por este preço único em cada canal.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1=Jan, 2=Fev, ..., 12=Dez</t>
        </r>
      </text>
    </comment>
  </commentList>
</comments>
</file>

<file path=xl/sharedStrings.xml><?xml version="1.0" encoding="utf-8"?>
<sst xmlns="http://schemas.openxmlformats.org/spreadsheetml/2006/main" count="396" uniqueCount="277">
  <si>
    <t xml:space="preserve">Planilha de Precificação e Controle Financeiro</t>
  </si>
  <si>
    <t xml:space="preserve">E-commerce | Cortesia MCO Contábil</t>
  </si>
  <si>
    <t xml:space="preserve">Como usar esta planilha</t>
  </si>
  <si>
    <t xml:space="preserve">1.</t>
  </si>
  <si>
    <t xml:space="preserve">Configure os Parâmetros</t>
  </si>
  <si>
    <t xml:space="preserve">Comece pela aba '⚙️ Parâmetros'. Cadastre os canais de venda (loja própria, Mercado Livre, Shopee, etc.), suas alíquotas tributárias e taxas operacionais.</t>
  </si>
  <si>
    <t xml:space="preserve">2.</t>
  </si>
  <si>
    <t xml:space="preserve">Cadastre seus Produtos</t>
  </si>
  <si>
    <t xml:space="preserve">Na aba '🏷️ Precificação', preencha os campos em AZUL: nome do produto, custo, frete, embalagem e a margem que você quer. A planilha calcula o preço ideal para cada canal automaticamente.</t>
  </si>
  <si>
    <t xml:space="preserve">3.</t>
  </si>
  <si>
    <t xml:space="preserve">Lance suas Movimentações</t>
  </si>
  <si>
    <t xml:space="preserve">Na aba '💰 Fluxo de Caixa', registre todas as entradas e saídas do dia a dia. Categorize cada lançamento — isso alimenta o DRE automaticamente.</t>
  </si>
  <si>
    <t xml:space="preserve">4.</t>
  </si>
  <si>
    <t xml:space="preserve">Concilie suas Vendas</t>
  </si>
  <si>
    <t xml:space="preserve">Na aba '🔄 Conciliação', confronte o que VOCÊ vendeu com o que o canal/banco repassou. Diferenças aparecem destacadas.</t>
  </si>
  <si>
    <t xml:space="preserve">5.</t>
  </si>
  <si>
    <t xml:space="preserve">Acompanhe os Resultados</t>
  </si>
  <si>
    <t xml:space="preserve">A aba '📊 DRE Mensal' mostra o resultado real do seu e-commerce mês a mês. O '📈 Dashboard' resume tudo em uma tela.</t>
  </si>
  <si>
    <t xml:space="preserve">Legenda das cores</t>
  </si>
  <si>
    <t xml:space="preserve">AZUL</t>
  </si>
  <si>
    <t xml:space="preserve">Campos que você preenche (inputs)</t>
  </si>
  <si>
    <t xml:space="preserve">PRETO</t>
  </si>
  <si>
    <t xml:space="preserve">Fórmulas calculadas automaticamente</t>
  </si>
  <si>
    <t xml:space="preserve">VERDE</t>
  </si>
  <si>
    <t xml:space="preserve">Valores puxados de outras abas</t>
  </si>
  <si>
    <t xml:space="preserve">AMARELO</t>
  </si>
  <si>
    <t xml:space="preserve">Premissas-chave que merecem atenção</t>
  </si>
  <si>
    <t xml:space="preserve">💡 Quer escalar seu e-commerce sem dor de cabeça com o financeiro? A MCO Contábil é especialista em e-commerce. Fale com a gente: mcocontabil.com.br</t>
  </si>
  <si>
    <t xml:space="preserve">Parâmetros Gerais</t>
  </si>
  <si>
    <t xml:space="preserve">Configure aqui os dados-base da operação. Altere os campos em AZUL conforme sua realidade.</t>
  </si>
  <si>
    <t xml:space="preserve">  REGIME TRIBUTÁRIO E IMPOSTOS</t>
  </si>
  <si>
    <t xml:space="preserve">Regime tributário</t>
  </si>
  <si>
    <t xml:space="preserve">Simples Nacional</t>
  </si>
  <si>
    <t xml:space="preserve">Alíquota efetiva de impostos sobre venda (%)</t>
  </si>
  <si>
    <t xml:space="preserve">Soma dos tributos sobre faturamento (DAS, ICMS-ST, ou IRPJ+CSLL+PIS+COFINS+ICMS conforme regime)</t>
  </si>
  <si>
    <t xml:space="preserve">  CANAIS DE VENDA E TAXAS</t>
  </si>
  <si>
    <t xml:space="preserve">Canal de Venda</t>
  </si>
  <si>
    <t xml:space="preserve">Comissão (%)</t>
  </si>
  <si>
    <t xml:space="preserve">Taxa Fixa (R$)</t>
  </si>
  <si>
    <t xml:space="preserve">Taxa Pagamento (%)</t>
  </si>
  <si>
    <t xml:space="preserve">Frete Médio Pago (R$)</t>
  </si>
  <si>
    <t xml:space="preserve">Repasse (dias)</t>
  </si>
  <si>
    <t xml:space="preserve">Observações</t>
  </si>
  <si>
    <t xml:space="preserve">Loja Própria</t>
  </si>
  <si>
    <t xml:space="preserve">Apenas gateway de pagamento</t>
  </si>
  <si>
    <t xml:space="preserve">Mercado Livre Clássico</t>
  </si>
  <si>
    <t xml:space="preserve">Comissão Clássico + tx fixa &lt; R$79</t>
  </si>
  <si>
    <t xml:space="preserve">Mercado Livre Premium</t>
  </si>
  <si>
    <t xml:space="preserve">Comissão Premium parcelado sem juros</t>
  </si>
  <si>
    <t xml:space="preserve">Shopee</t>
  </si>
  <si>
    <t xml:space="preserve">Programa de Frete Grátis incluso</t>
  </si>
  <si>
    <t xml:space="preserve">Amazon</t>
  </si>
  <si>
    <t xml:space="preserve">Comissão varia por categoria</t>
  </si>
  <si>
    <t xml:space="preserve">Magalu / Magazine</t>
  </si>
  <si>
    <t xml:space="preserve">Comissão padrão marketplace</t>
  </si>
  <si>
    <t xml:space="preserve">Instagram / Direct</t>
  </si>
  <si>
    <t xml:space="preserve">Pagamento via Pix ou link</t>
  </si>
  <si>
    <t xml:space="preserve">  PLANO DE CONTAS (Categorias do Fluxo de Caixa)</t>
  </si>
  <si>
    <t xml:space="preserve">Tipo</t>
  </si>
  <si>
    <t xml:space="preserve">Grupo (DRE)</t>
  </si>
  <si>
    <t xml:space="preserve">Categoria</t>
  </si>
  <si>
    <t xml:space="preserve">Descrição</t>
  </si>
  <si>
    <t xml:space="preserve">Entrada</t>
  </si>
  <si>
    <t xml:space="preserve">Receita Bruta</t>
  </si>
  <si>
    <t xml:space="preserve">Vendas - Loja Própria</t>
  </si>
  <si>
    <t xml:space="preserve">Vendas pelo site/Pix/Cartão direto</t>
  </si>
  <si>
    <t xml:space="preserve">Vendas - Mercado Livre</t>
  </si>
  <si>
    <t xml:space="preserve">Repasses do ML (já líquidos de comissão)</t>
  </si>
  <si>
    <t xml:space="preserve">Vendas - Shopee</t>
  </si>
  <si>
    <t xml:space="preserve">Repasses da Shopee</t>
  </si>
  <si>
    <t xml:space="preserve">Vendas - Outros Marketplaces</t>
  </si>
  <si>
    <t xml:space="preserve">Amazon, Magalu, etc.</t>
  </si>
  <si>
    <t xml:space="preserve">Outras Receitas</t>
  </si>
  <si>
    <t xml:space="preserve">Juros / Rendimentos</t>
  </si>
  <si>
    <t xml:space="preserve">Aplicações financeiras</t>
  </si>
  <si>
    <t xml:space="preserve">Saída</t>
  </si>
  <si>
    <t xml:space="preserve">Custo dos Produtos (CMV)</t>
  </si>
  <si>
    <t xml:space="preserve">Compra de Mercadoria</t>
  </si>
  <si>
    <t xml:space="preserve">Aquisição de produtos para revenda</t>
  </si>
  <si>
    <t xml:space="preserve">Embalagens</t>
  </si>
  <si>
    <t xml:space="preserve">Caixas, plásticos, etiquetas</t>
  </si>
  <si>
    <t xml:space="preserve">Despesas Variáveis</t>
  </si>
  <si>
    <t xml:space="preserve">Frete (envio)</t>
  </si>
  <si>
    <t xml:space="preserve">Correios, Jadlog, transportadoras</t>
  </si>
  <si>
    <t xml:space="preserve">Comissões Marketplace</t>
  </si>
  <si>
    <t xml:space="preserve">Quando lançadas separadas do repasse</t>
  </si>
  <si>
    <t xml:space="preserve">Taxas de Pagamento</t>
  </si>
  <si>
    <t xml:space="preserve">Gateway, Pix, antecipação</t>
  </si>
  <si>
    <t xml:space="preserve">Impostos</t>
  </si>
  <si>
    <t xml:space="preserve">DAS / Impostos sobre Vendas</t>
  </si>
  <si>
    <t xml:space="preserve">Simples, ICMS, PIS/COFINS, etc.</t>
  </si>
  <si>
    <t xml:space="preserve">Despesas Operacionais</t>
  </si>
  <si>
    <t xml:space="preserve">Tráfego Pago / Marketing</t>
  </si>
  <si>
    <t xml:space="preserve">Meta Ads, Google Ads, influência</t>
  </si>
  <si>
    <t xml:space="preserve">Plataforma / Hospedagem</t>
  </si>
  <si>
    <t xml:space="preserve">Loja virtual, integradores, ERP</t>
  </si>
  <si>
    <t xml:space="preserve">Pró-labore / Salários</t>
  </si>
  <si>
    <t xml:space="preserve">Remuneração de sócios e equipe</t>
  </si>
  <si>
    <t xml:space="preserve">Aluguel / Estoque</t>
  </si>
  <si>
    <t xml:space="preserve">Galpão, escritório, fulfillment</t>
  </si>
  <si>
    <t xml:space="preserve">Contabilidade / Honorários</t>
  </si>
  <si>
    <t xml:space="preserve">Honorários da contabilidade</t>
  </si>
  <si>
    <t xml:space="preserve">Outras Despesas Adm.</t>
  </si>
  <si>
    <t xml:space="preserve">Energia, internet, materiais</t>
  </si>
  <si>
    <t xml:space="preserve">Despesas Financeiras</t>
  </si>
  <si>
    <t xml:space="preserve">Tarifas Bancárias</t>
  </si>
  <si>
    <t xml:space="preserve">Tarifas, IOF, juros pagos</t>
  </si>
  <si>
    <t xml:space="preserve">Investimentos</t>
  </si>
  <si>
    <t xml:space="preserve">Investimentos / Ativos</t>
  </si>
  <si>
    <t xml:space="preserve">Compra de equipamentos, melhorias</t>
  </si>
  <si>
    <t xml:space="preserve">Retiradas</t>
  </si>
  <si>
    <t xml:space="preserve">Distribuição de Lucros</t>
  </si>
  <si>
    <t xml:space="preserve">Lucros distribuídos aos sócios</t>
  </si>
  <si>
    <t xml:space="preserve">Precificação por Produto</t>
  </si>
  <si>
    <t xml:space="preserve">Preencha os campos em AZUL. A planilha calcula o preço de venda ideal por canal e a margem real após todos os custos.</t>
  </si>
  <si>
    <t xml:space="preserve">IDENTIFICAÇÃO</t>
  </si>
  <si>
    <t xml:space="preserve">CUSTOS DO PRODUTO</t>
  </si>
  <si>
    <t xml:space="preserve">OBJETIVO E PREÇO PRATICADO</t>
  </si>
  <si>
    <t xml:space="preserve">CANAL: LOJA PRÓPRIA</t>
  </si>
  <si>
    <t xml:space="preserve">CANAL: MERCADO LIVRE</t>
  </si>
  <si>
    <t xml:space="preserve">CANAL: SHOPEE</t>
  </si>
  <si>
    <t xml:space="preserve">SKU</t>
  </si>
  <si>
    <t xml:space="preserve">Produto</t>
  </si>
  <si>
    <t xml:space="preserve">Estoque</t>
  </si>
  <si>
    <t xml:space="preserve">Custo Unit.</t>
  </si>
  <si>
    <t xml:space="preserve">Frete (compra)</t>
  </si>
  <si>
    <t xml:space="preserve">Embalagem</t>
  </si>
  <si>
    <t xml:space="preserve">Custo Total</t>
  </si>
  <si>
    <t xml:space="preserve">Margem Alvo (%)</t>
  </si>
  <si>
    <t xml:space="preserve">Markup</t>
  </si>
  <si>
    <t xml:space="preserve">Preço Praticado</t>
  </si>
  <si>
    <t xml:space="preserve">Preço Sugerido</t>
  </si>
  <si>
    <t xml:space="preserve">Margem R$</t>
  </si>
  <si>
    <t xml:space="preserve">Margem Real %</t>
  </si>
  <si>
    <t xml:space="preserve">SKU-001</t>
  </si>
  <si>
    <t xml:space="preserve">Camiseta Algodão Premium</t>
  </si>
  <si>
    <t xml:space="preserve">Vestuário</t>
  </si>
  <si>
    <t xml:space="preserve">SKU-002</t>
  </si>
  <si>
    <t xml:space="preserve">Caneca Cerâmica Personalizada</t>
  </si>
  <si>
    <t xml:space="preserve">Casa</t>
  </si>
  <si>
    <t xml:space="preserve">SKU-003</t>
  </si>
  <si>
    <t xml:space="preserve">Suplemento Whey 900g</t>
  </si>
  <si>
    <t xml:space="preserve">Saúde</t>
  </si>
  <si>
    <t xml:space="preserve">SKU-004</t>
  </si>
  <si>
    <t xml:space="preserve">Tênis Esportivo</t>
  </si>
  <si>
    <t xml:space="preserve">Calçados</t>
  </si>
  <si>
    <t xml:space="preserve">SKU-005</t>
  </si>
  <si>
    <t xml:space="preserve">Kit Skincare Facial</t>
  </si>
  <si>
    <t xml:space="preserve">Beleza</t>
  </si>
  <si>
    <t xml:space="preserve">📌 Como ler: 'Preço Sugerido' = preço ideal pra atingir sua margem alvo em cada canal. 'Margem Real' = quanto sobra de fato se você vender pelo 'Preço Praticado' (L). Vermelho = prejuízo. Verde = margem ≥ 20%.</t>
  </si>
  <si>
    <t xml:space="preserve">Fluxo de Caixa</t>
  </si>
  <si>
    <t xml:space="preserve">Lance todas as movimentações financeiras. Use as categorias da aba Parâmetros — isso alimenta o DRE automaticamente.</t>
  </si>
  <si>
    <t xml:space="preserve">Saldo Inicial</t>
  </si>
  <si>
    <t xml:space="preserve">Saldo Atual</t>
  </si>
  <si>
    <t xml:space="preserve">Total Entradas</t>
  </si>
  <si>
    <t xml:space="preserve">Total Saídas</t>
  </si>
  <si>
    <t xml:space="preserve">Data</t>
  </si>
  <si>
    <t xml:space="preserve">Canal</t>
  </si>
  <si>
    <t xml:space="preserve">Forma Pagto</t>
  </si>
  <si>
    <t xml:space="preserve">Valor</t>
  </si>
  <si>
    <t xml:space="preserve">Saldo Acum.</t>
  </si>
  <si>
    <t xml:space="preserve">Status</t>
  </si>
  <si>
    <t xml:space="preserve">2026-04-01</t>
  </si>
  <si>
    <t xml:space="preserve">Venda Loja Própria - 12 pedidos</t>
  </si>
  <si>
    <t xml:space="preserve">Pix</t>
  </si>
  <si>
    <t xml:space="preserve">2026-04-02</t>
  </si>
  <si>
    <t xml:space="preserve">Repasse ML - vendas 16/03 a 21/03</t>
  </si>
  <si>
    <t xml:space="preserve">Mercado Livre</t>
  </si>
  <si>
    <t xml:space="preserve">Repasse</t>
  </si>
  <si>
    <t xml:space="preserve">2026-04-03</t>
  </si>
  <si>
    <t xml:space="preserve">Compra de mercadoria - Fornecedor X</t>
  </si>
  <si>
    <t xml:space="preserve">—</t>
  </si>
  <si>
    <t xml:space="preserve">Boleto</t>
  </si>
  <si>
    <t xml:space="preserve">Embalagens (caixas + plástico bolha)</t>
  </si>
  <si>
    <t xml:space="preserve">Cartão</t>
  </si>
  <si>
    <t xml:space="preserve">2026-04-04</t>
  </si>
  <si>
    <t xml:space="preserve">Frete Correios - 28 envios</t>
  </si>
  <si>
    <t xml:space="preserve">Conta</t>
  </si>
  <si>
    <t xml:space="preserve">2026-04-05</t>
  </si>
  <si>
    <t xml:space="preserve">Repasse Shopee</t>
  </si>
  <si>
    <t xml:space="preserve">2026-04-08</t>
  </si>
  <si>
    <t xml:space="preserve">Meta Ads - Campanha Abril</t>
  </si>
  <si>
    <t xml:space="preserve">2026-04-10</t>
  </si>
  <si>
    <t xml:space="preserve">DAS Simples Nacional - Mar/26</t>
  </si>
  <si>
    <t xml:space="preserve">DARF/DAS</t>
  </si>
  <si>
    <t xml:space="preserve">2026-04-12</t>
  </si>
  <si>
    <t xml:space="preserve">Honorários Contábeis - MCO</t>
  </si>
  <si>
    <t xml:space="preserve">2026-04-15</t>
  </si>
  <si>
    <t xml:space="preserve">Plataforma Loja (mensalidade)</t>
  </si>
  <si>
    <t xml:space="preserve">2026-04-20</t>
  </si>
  <si>
    <t xml:space="preserve">Pró-labore Sócio</t>
  </si>
  <si>
    <t xml:space="preserve">2026-04-25</t>
  </si>
  <si>
    <t xml:space="preserve">Tarifas bancárias</t>
  </si>
  <si>
    <t xml:space="preserve">2026-04-28</t>
  </si>
  <si>
    <t xml:space="preserve">Venda Loja Própria - 18 pedidos</t>
  </si>
  <si>
    <t xml:space="preserve">2026-04-30</t>
  </si>
  <si>
    <t xml:space="preserve">Repasse ML quinzena</t>
  </si>
  <si>
    <t xml:space="preserve">DRE — Demonstração do Resultado do Exercício</t>
  </si>
  <si>
    <t xml:space="preserve">Resultado mensal calculado a partir do Fluxo de Caixa. Selecione o ano abaixo.</t>
  </si>
  <si>
    <t xml:space="preserve">Ano de análise: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</si>
  <si>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</si>
  <si>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</si>
  <si>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</si>
  <si>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</si>
  <si>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</si>
  <si>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</si>
  <si>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</si>
  <si>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</si>
  <si>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</si>
  <si>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</si>
  <si>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</si>
  <si>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</si>
  <si>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 Ano</t>
  </si>
  <si>
    <t xml:space="preserve">(=) RECEITA BRUTA</t>
  </si>
  <si>
    <t xml:space="preserve">  Vendas - Loja Própria</t>
  </si>
  <si>
    <t xml:space="preserve">  Vendas - Mercado Livre</t>
  </si>
  <si>
    <t xml:space="preserve">  Vendas - Shopee</t>
  </si>
  <si>
    <t xml:space="preserve">  Vendas - Outros Marketplaces</t>
  </si>
  <si>
    <t xml:space="preserve">  Outras Receitas</t>
  </si>
  <si>
    <t xml:space="preserve">(−) DEDUÇÕES (Impostos)</t>
  </si>
  <si>
    <t xml:space="preserve">  DAS / Impostos sobre Vendas</t>
  </si>
  <si>
    <t xml:space="preserve">(=) RECEITA LÍQUIDA</t>
  </si>
  <si>
    <t xml:space="preserve">(−) CMV — Custo dos Produtos Vendidos</t>
  </si>
  <si>
    <t xml:space="preserve">  Compra de Mercadoria</t>
  </si>
  <si>
    <t xml:space="preserve">  Embalagens</t>
  </si>
  <si>
    <t xml:space="preserve">(=) LUCRO BRUTO</t>
  </si>
  <si>
    <t xml:space="preserve">(−) DESPESAS VARIÁVEIS</t>
  </si>
  <si>
    <t xml:space="preserve">  Frete (envio)</t>
  </si>
  <si>
    <t xml:space="preserve">  Comissões Marketplace</t>
  </si>
  <si>
    <t xml:space="preserve">  Taxas de Pagamento</t>
  </si>
  <si>
    <t xml:space="preserve">(−) DESPESAS OPERACIONAIS</t>
  </si>
  <si>
    <t xml:space="preserve">  Tráfego Pago / Marketing</t>
  </si>
  <si>
    <t xml:space="preserve">  Plataforma / Hospedagem</t>
  </si>
  <si>
    <t xml:space="preserve">  Pró-labore / Salários</t>
  </si>
  <si>
    <t xml:space="preserve">  Aluguel / Estoque</t>
  </si>
  <si>
    <t xml:space="preserve">  Contabilidade / Honorários</t>
  </si>
  <si>
    <t xml:space="preserve">  Outras Despesas Adm.</t>
  </si>
  <si>
    <t xml:space="preserve">(−) DESPESAS FINANCEIRAS</t>
  </si>
  <si>
    <t xml:space="preserve">  Tarifas Bancárias</t>
  </si>
  <si>
    <t xml:space="preserve">(=) RESULTADO LÍQUIDO (LUCRO/PREJUÍZO)</t>
  </si>
  <si>
    <t xml:space="preserve">MARGEM LÍQUIDA (%)</t>
  </si>
  <si>
    <t xml:space="preserve">Conciliação de Vendas vs Repasses</t>
  </si>
  <si>
    <t xml:space="preserve">Compare o que VOCÊ vendeu com o que o canal/banco repassou. Diferenças aparecem destacadas em vermelho.</t>
  </si>
  <si>
    <t xml:space="preserve">Pedido / Ref.</t>
  </si>
  <si>
    <t xml:space="preserve">Valor Bruto Vendido</t>
  </si>
  <si>
    <t xml:space="preserve">Comissão Esperada</t>
  </si>
  <si>
    <t xml:space="preserve">Líquido Esperado</t>
  </si>
  <si>
    <t xml:space="preserve">Valor Recebido</t>
  </si>
  <si>
    <t xml:space="preserve">Diferença</t>
  </si>
  <si>
    <t xml:space="preserve">PED-2024558</t>
  </si>
  <si>
    <t xml:space="preserve">PED-SHP-1192</t>
  </si>
  <si>
    <t xml:space="preserve">Pix #4592</t>
  </si>
  <si>
    <t xml:space="preserve">PED-2024612</t>
  </si>
  <si>
    <t xml:space="preserve">RESUMO DA CONCILIAÇÃO</t>
  </si>
  <si>
    <t xml:space="preserve">Total Esperado:</t>
  </si>
  <si>
    <t xml:space="preserve">Total Recebido:</t>
  </si>
  <si>
    <t xml:space="preserve">Divergência:</t>
  </si>
  <si>
    <t xml:space="preserve">Dashboard Executivo</t>
  </si>
  <si>
    <t xml:space="preserve">Visão consolidada do seu e-commerce — atualiza automaticamente conforme você lança no Fluxo de Caixa.</t>
  </si>
  <si>
    <t xml:space="preserve">Mês:</t>
  </si>
  <si>
    <t xml:space="preserve">Ano:</t>
  </si>
  <si>
    <t xml:space="preserve">RECEITA BRUTA</t>
  </si>
  <si>
    <t xml:space="preserve">LUCRO LÍQUIDO</t>
  </si>
  <si>
    <t xml:space="preserve">MARGEM LÍQUIDA</t>
  </si>
  <si>
    <t xml:space="preserve">SALDO EM CAIXA</t>
  </si>
  <si>
    <t xml:space="preserve">RECEITA ANO</t>
  </si>
  <si>
    <t xml:space="preserve">LUCRO ANO</t>
  </si>
  <si>
    <t xml:space="preserve">CMV ANO</t>
  </si>
  <si>
    <t xml:space="preserve">MARKETING ANO</t>
  </si>
  <si>
    <t xml:space="preserve">  VENDAS POR CANAL (Acumulado do Ano)</t>
  </si>
  <si>
    <t xml:space="preserve">Receita (R$)</t>
  </si>
  <si>
    <t xml:space="preserve">% do Total</t>
  </si>
  <si>
    <t xml:space="preserve">Pedidos (lançamentos)</t>
  </si>
  <si>
    <t xml:space="preserve">Outros Marketplaces</t>
  </si>
  <si>
    <t xml:space="preserve">TOTAL</t>
  </si>
  <si>
    <t xml:space="preserve">100,0%</t>
  </si>
  <si>
    <t xml:space="preserve">🚀  Quer ir além da planilha?
A MCO Contábil é especialista em e-commerce. Cuidamos da contabilidade, dos impostos e do financeiro pra você focar em vender mais.
👉 mcocontabil.com.br  |  Instagram: @luccamelocontador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</si>
</sst>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;[RED]\-0.0%;\-"/>
    <numFmt numFmtId="166" formatCode="&quot;R$ &quot;#,##0.00;[RED]&quot;(R$ &quot;#,##0.00\);\-"/>
    <numFmt numFmtId="167" formatCode="#,##0;\(#,##0\);\-"/>
    <numFmt numFmtId="168" formatCode="0.00\x"/>
    <numFmt numFmtId="169" formatCode="&quot;R$ &quot;#,##0.00;[RED]&quot;(R$ &quot;#,##0.00\);\-"/>
    <numFmt numFmtId="170" formatCode="dd/mm/yyyy"/>
    <numFmt numFmtId="171" formatCode="0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A2EA8"/>
      <name val="Arial"/>
      <family val="0"/>
      <charset val="1"/>
    </font>
    <font>
      <i val="true"/>
      <sz val="12"/>
      <color rgb="FF6B7280"/>
      <name val="Arial"/>
      <family val="0"/>
      <charset val="1"/>
    </font>
    <font>
      <b val="true"/>
      <sz val="14"/>
      <color rgb="FF1A2EA8"/>
      <name val="Arial"/>
      <family val="0"/>
      <charset val="1"/>
    </font>
    <font>
      <b val="true"/>
      <sz val="12"/>
      <color rgb="FF2D2D2D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2D2D2D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i val="true"/>
      <sz val="11"/>
      <color rgb="FF1A2EA8"/>
      <name val="Arial"/>
      <family val="0"/>
      <charset val="1"/>
    </font>
    <font>
      <b val="true"/>
      <sz val="18"/>
      <color rgb="FF1A2EA8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2D2D2D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2"/>
    </font>
    <font>
      <sz val="10"/>
      <color rgb="FF000000"/>
      <name val="Arial"/>
      <family val="0"/>
      <charset val="1"/>
    </font>
    <font>
      <b val="true"/>
      <sz val="11"/>
      <color rgb="FF1A2EA8"/>
      <name val="Arial"/>
      <family val="0"/>
      <charset val="1"/>
    </font>
    <font>
      <b val="true"/>
      <sz val="11"/>
      <color rgb="FF059669"/>
      <name val="Arial"/>
      <family val="0"/>
      <charset val="1"/>
    </font>
    <font>
      <b val="true"/>
      <sz val="10"/>
      <color rgb="FF059669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1A2EA8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b val="true"/>
      <sz val="18"/>
      <color rgb="FF059669"/>
      <name val="Arial"/>
      <family val="0"/>
      <charset val="1"/>
    </font>
    <font>
      <b val="true"/>
      <sz val="18"/>
      <color rgb="FFF59E0B"/>
      <name val="Arial"/>
      <family val="0"/>
      <charset val="1"/>
    </font>
    <font>
      <b val="true"/>
      <sz val="18"/>
      <color rgb="FF475569"/>
      <name val="Arial"/>
      <family val="0"/>
      <charset val="1"/>
    </font>
    <font>
      <b val="true"/>
      <sz val="18"/>
      <color rgb="FFDC2626"/>
      <name val="Arial"/>
      <family val="0"/>
      <charset val="1"/>
    </font>
    <font>
      <b val="true"/>
      <sz val="18"/>
      <color rgb="FF8B5CF6"/>
      <name val="Arial"/>
      <family val="0"/>
      <charset val="1"/>
    </font>
    <font>
      <b val="true"/>
      <sz val="12"/>
      <color rgb="FF1A2EA8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F7F5F0"/>
        <bgColor rgb="FFFFFFFF"/>
      </patternFill>
    </fill>
    <fill>
      <patternFill patternType="solid">
        <fgColor rgb="FFDBEAFE"/>
        <bgColor rgb="FFE5E7EB"/>
      </patternFill>
    </fill>
    <fill>
      <patternFill patternType="solid">
        <fgColor rgb="FFFFFFFF"/>
        <bgColor rgb="FFF7F5F0"/>
      </patternFill>
    </fill>
    <fill>
      <patternFill patternType="solid">
        <fgColor rgb="FFFEF3C7"/>
        <bgColor rgb="FFF7F5F0"/>
      </patternFill>
    </fill>
    <fill>
      <patternFill patternType="solid">
        <fgColor rgb="FF1A2EA8"/>
        <bgColor rgb="FF003366"/>
      </patternFill>
    </fill>
    <fill>
      <patternFill patternType="solid">
        <fgColor rgb="FFD1FAE5"/>
        <bgColor rgb="FFDBEAFE"/>
      </patternFill>
    </fill>
    <fill>
      <patternFill patternType="solid">
        <fgColor rgb="FFFEE2E2"/>
        <bgColor rgb="FFE5E7EB"/>
      </patternFill>
    </fill>
    <fill>
      <patternFill patternType="solid">
        <fgColor rgb="FF475569"/>
        <bgColor rgb="FF6B7280"/>
      </patternFill>
    </fill>
    <fill>
      <patternFill patternType="solid">
        <fgColor rgb="FFF59E0B"/>
        <bgColor rgb="FFFFCC00"/>
      </patternFill>
    </fill>
    <fill>
      <patternFill patternType="solid">
        <fgColor rgb="FFEE4D2D"/>
        <bgColor rgb="FFDC2626"/>
      </patternFill>
    </fill>
    <fill>
      <patternFill patternType="solid">
        <fgColor rgb="FF2D2D2D"/>
        <bgColor rgb="FF003300"/>
      </patternFill>
    </fill>
    <fill>
      <patternFill patternType="solid">
        <fgColor rgb="FF059669"/>
        <bgColor rgb="FF008080"/>
      </patternFill>
    </fill>
    <fill>
      <patternFill patternType="solid">
        <fgColor rgb="FFDC2626"/>
        <bgColor rgb="FFEE4D2D"/>
      </patternFill>
    </fill>
    <fill>
      <patternFill patternType="solid">
        <fgColor rgb="FF8B5CF6"/>
        <bgColor rgb="FF6B72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medium">
        <color rgb="FF1A2EA8"/>
      </left>
      <right/>
      <top style="medium">
        <color rgb="FF1A2EA8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9" fontId="2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71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8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059669"/>
        <sz val="10"/>
      </font>
      <fill>
        <patternFill>
          <bgColor rgb="FFD1FAE5"/>
        </patternFill>
      </fill>
    </dxf>
    <dxf>
      <font>
        <name val="Arial"/>
        <charset val="1"/>
        <family val="0"/>
        <b val="1"/>
        <color rgb="FFB45309"/>
        <sz val="10"/>
      </font>
      <fill>
        <patternFill>
          <bgColor rgb="FFFEF3C7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8B5CF6"/>
      <rgbColor rgb="FF993366"/>
      <rgbColor rgb="FFFEF3C7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D1FAE5"/>
      <rgbColor rgb="FFF7F5F0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59E0B"/>
      <rgbColor rgb="FFEE4D2D"/>
      <rgbColor rgb="FF6B7280"/>
      <rgbColor rgb="FF969696"/>
      <rgbColor rgb="FF003366"/>
      <rgbColor rgb="FF339966"/>
      <rgbColor rgb="FF003300"/>
      <rgbColor rgb="FF475569"/>
      <rgbColor rgb="FFB45309"/>
      <rgbColor rgb="FF993366"/>
      <rgbColor rgb="FF1A2EA8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"/>
    <col collapsed="false" customWidth="true" hidden="false" outlineLevel="0" max="11" min="3" style="0" width="16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" hidden="false" customHeight="false" outlineLevel="0" collapsed="false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customFormat="false" ht="17.35" hidden="false" customHeight="false" outlineLevel="0" collapsed="false">
      <c r="A6" s="1"/>
      <c r="B6" s="4" t="s">
        <v>2</v>
      </c>
      <c r="C6" s="4"/>
      <c r="D6" s="4"/>
      <c r="E6" s="4"/>
      <c r="F6" s="4"/>
      <c r="G6" s="4"/>
      <c r="H6" s="4"/>
      <c r="I6" s="4"/>
      <c r="J6" s="4"/>
      <c r="K6" s="4"/>
    </row>
    <row r="7" customFormat="false" ht="17.35" hidden="false" customHeight="false" outlineLevel="0" collapsed="false">
      <c r="A7" s="1"/>
      <c r="B7" s="5" t="s">
        <v>3</v>
      </c>
      <c r="C7" s="6" t="s">
        <v>4</v>
      </c>
      <c r="D7" s="6"/>
      <c r="E7" s="6"/>
      <c r="F7" s="6"/>
      <c r="G7" s="6"/>
      <c r="H7" s="6"/>
      <c r="I7" s="6"/>
      <c r="J7" s="6"/>
      <c r="K7" s="6"/>
    </row>
    <row r="8" customFormat="false" ht="15" hidden="false" customHeight="true" outlineLevel="0" collapsed="false">
      <c r="A8" s="1"/>
      <c r="B8" s="1"/>
      <c r="C8" s="7" t="s">
        <v>5</v>
      </c>
      <c r="D8" s="7"/>
      <c r="E8" s="7"/>
      <c r="F8" s="7"/>
      <c r="G8" s="7"/>
      <c r="H8" s="7"/>
      <c r="I8" s="7"/>
      <c r="J8" s="7"/>
      <c r="K8" s="7"/>
    </row>
    <row r="9" customFormat="false" ht="15" hidden="false" customHeight="false" outlineLevel="0" collapsed="false">
      <c r="A9" s="1"/>
      <c r="B9" s="1"/>
      <c r="C9" s="7"/>
      <c r="D9" s="7"/>
      <c r="E9" s="7"/>
      <c r="F9" s="7"/>
      <c r="G9" s="7"/>
      <c r="H9" s="7"/>
      <c r="I9" s="7"/>
      <c r="J9" s="7"/>
      <c r="K9" s="7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customFormat="false" ht="17.35" hidden="false" customHeight="false" outlineLevel="0" collapsed="false">
      <c r="A11" s="1"/>
      <c r="B11" s="5" t="s">
        <v>6</v>
      </c>
      <c r="C11" s="6" t="s">
        <v>7</v>
      </c>
      <c r="D11" s="6"/>
      <c r="E11" s="6"/>
      <c r="F11" s="6"/>
      <c r="G11" s="6"/>
      <c r="H11" s="6"/>
      <c r="I11" s="6"/>
      <c r="J11" s="6"/>
      <c r="K11" s="6"/>
    </row>
    <row r="12" customFormat="false" ht="15" hidden="false" customHeight="true" outlineLevel="0" collapsed="false">
      <c r="A12" s="1"/>
      <c r="B12" s="1"/>
      <c r="C12" s="7" t="s">
        <v>8</v>
      </c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false" outlineLevel="0" collapsed="false">
      <c r="A13" s="1"/>
      <c r="B13" s="1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customFormat="false" ht="17.35" hidden="false" customHeight="false" outlineLevel="0" collapsed="false">
      <c r="A15" s="1"/>
      <c r="B15" s="5" t="s">
        <v>9</v>
      </c>
      <c r="C15" s="6" t="s">
        <v>10</v>
      </c>
      <c r="D15" s="6"/>
      <c r="E15" s="6"/>
      <c r="F15" s="6"/>
      <c r="G15" s="6"/>
      <c r="H15" s="6"/>
      <c r="I15" s="6"/>
      <c r="J15" s="6"/>
      <c r="K15" s="6"/>
    </row>
    <row r="16" customFormat="false" ht="15" hidden="false" customHeight="true" outlineLevel="0" collapsed="false">
      <c r="A16" s="1"/>
      <c r="B16" s="1"/>
      <c r="C16" s="7" t="s">
        <v>11</v>
      </c>
      <c r="D16" s="7"/>
      <c r="E16" s="7"/>
      <c r="F16" s="7"/>
      <c r="G16" s="7"/>
      <c r="H16" s="7"/>
      <c r="I16" s="7"/>
      <c r="J16" s="7"/>
      <c r="K16" s="7"/>
    </row>
    <row r="17" customFormat="false" ht="15" hidden="false" customHeight="false" outlineLevel="0" collapsed="false">
      <c r="A17" s="1"/>
      <c r="B17" s="1"/>
      <c r="C17" s="7"/>
      <c r="D17" s="7"/>
      <c r="E17" s="7"/>
      <c r="F17" s="7"/>
      <c r="G17" s="7"/>
      <c r="H17" s="7"/>
      <c r="I17" s="7"/>
      <c r="J17" s="7"/>
      <c r="K17" s="7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customFormat="false" ht="17.35" hidden="false" customHeight="false" outlineLevel="0" collapsed="false">
      <c r="A19" s="1"/>
      <c r="B19" s="5" t="s">
        <v>12</v>
      </c>
      <c r="C19" s="6" t="s">
        <v>13</v>
      </c>
      <c r="D19" s="6"/>
      <c r="E19" s="6"/>
      <c r="F19" s="6"/>
      <c r="G19" s="6"/>
      <c r="H19" s="6"/>
      <c r="I19" s="6"/>
      <c r="J19" s="6"/>
      <c r="K19" s="6"/>
    </row>
    <row r="20" customFormat="false" ht="15" hidden="false" customHeight="true" outlineLevel="0" collapsed="false">
      <c r="A20" s="1"/>
      <c r="B20" s="1"/>
      <c r="C20" s="7" t="s">
        <v>14</v>
      </c>
      <c r="D20" s="7"/>
      <c r="E20" s="7"/>
      <c r="F20" s="7"/>
      <c r="G20" s="7"/>
      <c r="H20" s="7"/>
      <c r="I20" s="7"/>
      <c r="J20" s="7"/>
      <c r="K20" s="7"/>
    </row>
    <row r="21" customFormat="false" ht="15" hidden="false" customHeight="false" outlineLevel="0" collapsed="false">
      <c r="A21" s="1"/>
      <c r="B21" s="1"/>
      <c r="C21" s="7"/>
      <c r="D21" s="7"/>
      <c r="E21" s="7"/>
      <c r="F21" s="7"/>
      <c r="G21" s="7"/>
      <c r="H21" s="7"/>
      <c r="I21" s="7"/>
      <c r="J21" s="7"/>
      <c r="K21" s="7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customFormat="false" ht="17.35" hidden="false" customHeight="false" outlineLevel="0" collapsed="false">
      <c r="A23" s="1"/>
      <c r="B23" s="5" t="s">
        <v>15</v>
      </c>
      <c r="C23" s="6" t="s">
        <v>16</v>
      </c>
      <c r="D23" s="6"/>
      <c r="E23" s="6"/>
      <c r="F23" s="6"/>
      <c r="G23" s="6"/>
      <c r="H23" s="6"/>
      <c r="I23" s="6"/>
      <c r="J23" s="6"/>
      <c r="K23" s="6"/>
    </row>
    <row r="24" customFormat="false" ht="15" hidden="false" customHeight="true" outlineLevel="0" collapsed="false">
      <c r="A24" s="1"/>
      <c r="B24" s="1"/>
      <c r="C24" s="7" t="s">
        <v>17</v>
      </c>
      <c r="D24" s="7"/>
      <c r="E24" s="7"/>
      <c r="F24" s="7"/>
      <c r="G24" s="7"/>
      <c r="H24" s="7"/>
      <c r="I24" s="7"/>
      <c r="J24" s="7"/>
      <c r="K24" s="7"/>
    </row>
    <row r="25" customFormat="false" ht="15" hidden="false" customHeight="false" outlineLevel="0" collapsed="false">
      <c r="A25" s="1"/>
      <c r="B25" s="1"/>
      <c r="C25" s="7"/>
      <c r="D25" s="7"/>
      <c r="E25" s="7"/>
      <c r="F25" s="7"/>
      <c r="G25" s="7"/>
      <c r="H25" s="7"/>
      <c r="I25" s="7"/>
      <c r="J25" s="7"/>
      <c r="K25" s="7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customFormat="false" ht="17.35" hidden="false" customHeight="false" outlineLevel="0" collapsed="false">
      <c r="A27" s="1"/>
      <c r="B27" s="4" t="s">
        <v>18</v>
      </c>
      <c r="C27" s="4"/>
      <c r="D27" s="4"/>
      <c r="E27" s="4"/>
      <c r="F27" s="4"/>
      <c r="G27" s="4"/>
      <c r="H27" s="4"/>
      <c r="I27" s="4"/>
      <c r="J27" s="4"/>
      <c r="K27" s="4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customFormat="false" ht="15" hidden="false" customHeight="true" outlineLevel="0" collapsed="false">
      <c r="A29" s="1"/>
      <c r="B29" s="8" t="s">
        <v>19</v>
      </c>
      <c r="C29" s="9" t="s">
        <v>20</v>
      </c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true" outlineLevel="0" collapsed="false">
      <c r="A30" s="1"/>
      <c r="B30" s="10" t="s">
        <v>21</v>
      </c>
      <c r="C30" s="9" t="s">
        <v>22</v>
      </c>
      <c r="D30" s="9"/>
      <c r="E30" s="9"/>
      <c r="F30" s="9"/>
      <c r="G30" s="9"/>
      <c r="H30" s="9"/>
      <c r="I30" s="9"/>
      <c r="J30" s="9"/>
      <c r="K30" s="9"/>
    </row>
    <row r="31" customFormat="false" ht="15" hidden="false" customHeight="true" outlineLevel="0" collapsed="false">
      <c r="A31" s="1"/>
      <c r="B31" s="11" t="s">
        <v>23</v>
      </c>
      <c r="C31" s="9" t="s">
        <v>24</v>
      </c>
      <c r="D31" s="9"/>
      <c r="E31" s="9"/>
      <c r="F31" s="9"/>
      <c r="G31" s="9"/>
      <c r="H31" s="9"/>
      <c r="I31" s="9"/>
      <c r="J31" s="9"/>
      <c r="K31" s="9"/>
    </row>
    <row r="32" customFormat="false" ht="23.85" hidden="false" customHeight="true" outlineLevel="0" collapsed="false">
      <c r="A32" s="1"/>
      <c r="B32" s="12" t="s">
        <v>25</v>
      </c>
      <c r="C32" s="9" t="s">
        <v>26</v>
      </c>
      <c r="D32" s="9"/>
      <c r="E32" s="9"/>
      <c r="F32" s="9"/>
      <c r="G32" s="9"/>
      <c r="H32" s="9"/>
      <c r="I32" s="9"/>
      <c r="J32" s="9"/>
      <c r="K32" s="9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customFormat="false" ht="15" hidden="false" customHeight="true" outlineLevel="0" collapsed="false">
      <c r="A35" s="1"/>
      <c r="B35" s="13" t="s">
        <v>27</v>
      </c>
      <c r="C35" s="13"/>
      <c r="D35" s="13"/>
      <c r="E35" s="13"/>
      <c r="F35" s="13"/>
      <c r="G35" s="13"/>
      <c r="H35" s="13"/>
      <c r="I35" s="13"/>
      <c r="J35" s="13"/>
      <c r="K35" s="13"/>
    </row>
    <row r="36" customFormat="false" ht="15" hidden="false" customHeight="false" outlineLevel="0" collapsed="false">
      <c r="A36" s="1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</sheetData>
  <mergeCells count="19">
    <mergeCell ref="B2:K3"/>
    <mergeCell ref="B4:K4"/>
    <mergeCell ref="B6:K6"/>
    <mergeCell ref="C7:K7"/>
    <mergeCell ref="C8:K9"/>
    <mergeCell ref="C11:K11"/>
    <mergeCell ref="C12:K13"/>
    <mergeCell ref="C15:K15"/>
    <mergeCell ref="C16:K17"/>
    <mergeCell ref="C19:K19"/>
    <mergeCell ref="C20:K21"/>
    <mergeCell ref="C23:K23"/>
    <mergeCell ref="C24:K25"/>
    <mergeCell ref="B27:K27"/>
    <mergeCell ref="C29:K29"/>
    <mergeCell ref="C30:K30"/>
    <mergeCell ref="C31:K31"/>
    <mergeCell ref="C32:K32"/>
    <mergeCell ref="B35:K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4" min="3" style="0" width="16"/>
    <col collapsed="false" customWidth="true" hidden="false" outlineLevel="0" max="6" min="5" style="0" width="18"/>
    <col collapsed="false" customWidth="true" hidden="false" outlineLevel="0" max="7" min="7" style="0" width="16"/>
    <col collapsed="false" customWidth="true" hidden="false" outlineLevel="0" max="8" min="8" style="0" width="35"/>
  </cols>
  <sheetData>
    <row r="2" customFormat="false" ht="22.05" hidden="false" customHeight="false" outlineLevel="0" collapsed="false">
      <c r="B2" s="14" t="s">
        <v>28</v>
      </c>
      <c r="C2" s="14"/>
      <c r="D2" s="14"/>
      <c r="E2" s="14"/>
      <c r="F2" s="14"/>
      <c r="G2" s="14"/>
      <c r="H2" s="14"/>
    </row>
    <row r="3" customFormat="false" ht="15" hidden="false" customHeight="false" outlineLevel="0" collapsed="false">
      <c r="B3" s="15" t="s">
        <v>29</v>
      </c>
      <c r="C3" s="15"/>
      <c r="D3" s="15"/>
      <c r="E3" s="15"/>
      <c r="F3" s="15"/>
      <c r="G3" s="15"/>
      <c r="H3" s="15"/>
    </row>
    <row r="5" customFormat="false" ht="24.75" hidden="false" customHeight="true" outlineLevel="0" collapsed="false">
      <c r="B5" s="16" t="s">
        <v>30</v>
      </c>
      <c r="C5" s="16"/>
      <c r="D5" s="16"/>
      <c r="E5" s="16"/>
      <c r="F5" s="16"/>
      <c r="G5" s="16"/>
      <c r="H5" s="16"/>
    </row>
    <row r="6" customFormat="false" ht="15" hidden="false" customHeight="false" outlineLevel="0" collapsed="false">
      <c r="B6" s="17" t="s">
        <v>31</v>
      </c>
      <c r="C6" s="18" t="s">
        <v>32</v>
      </c>
      <c r="D6" s="19"/>
      <c r="E6" s="19"/>
      <c r="F6" s="19"/>
      <c r="G6" s="19"/>
      <c r="H6" s="19"/>
    </row>
    <row r="7" customFormat="false" ht="23.85" hidden="false" customHeight="true" outlineLevel="0" collapsed="false">
      <c r="B7" s="17" t="s">
        <v>33</v>
      </c>
      <c r="C7" s="20" t="n">
        <v>0.06</v>
      </c>
      <c r="D7" s="19" t="s">
        <v>34</v>
      </c>
      <c r="E7" s="19"/>
      <c r="F7" s="19"/>
      <c r="G7" s="19"/>
      <c r="H7" s="19"/>
    </row>
    <row r="9" customFormat="false" ht="24.75" hidden="false" customHeight="true" outlineLevel="0" collapsed="false">
      <c r="B9" s="16" t="s">
        <v>35</v>
      </c>
      <c r="C9" s="16"/>
      <c r="D9" s="16"/>
      <c r="E9" s="16"/>
      <c r="F9" s="16"/>
      <c r="G9" s="16"/>
      <c r="H9" s="16"/>
    </row>
    <row r="10" customFormat="false" ht="30" hidden="false" customHeight="true" outlineLevel="0" collapsed="false">
      <c r="B10" s="21" t="s">
        <v>36</v>
      </c>
      <c r="C10" s="21" t="s">
        <v>37</v>
      </c>
      <c r="D10" s="21" t="s">
        <v>38</v>
      </c>
      <c r="E10" s="21" t="s">
        <v>39</v>
      </c>
      <c r="F10" s="21" t="s">
        <v>40</v>
      </c>
      <c r="G10" s="21" t="s">
        <v>41</v>
      </c>
      <c r="H10" s="21" t="s">
        <v>42</v>
      </c>
    </row>
    <row r="11" customFormat="false" ht="15" hidden="false" customHeight="false" outlineLevel="0" collapsed="false">
      <c r="B11" s="22" t="s">
        <v>43</v>
      </c>
      <c r="C11" s="20" t="n">
        <v>0</v>
      </c>
      <c r="D11" s="23" t="n">
        <v>0</v>
      </c>
      <c r="E11" s="20" t="n">
        <v>0.0399</v>
      </c>
      <c r="F11" s="23" t="n">
        <v>0</v>
      </c>
      <c r="G11" s="24" t="n">
        <v>2</v>
      </c>
      <c r="H11" s="25" t="s">
        <v>44</v>
      </c>
    </row>
    <row r="12" customFormat="false" ht="15" hidden="false" customHeight="false" outlineLevel="0" collapsed="false">
      <c r="B12" s="22" t="s">
        <v>45</v>
      </c>
      <c r="C12" s="20" t="n">
        <v>0.13</v>
      </c>
      <c r="D12" s="23" t="n">
        <v>6</v>
      </c>
      <c r="E12" s="20" t="n">
        <v>0</v>
      </c>
      <c r="F12" s="23" t="n">
        <v>0</v>
      </c>
      <c r="G12" s="24" t="n">
        <v>14</v>
      </c>
      <c r="H12" s="25" t="s">
        <v>46</v>
      </c>
    </row>
    <row r="13" customFormat="false" ht="15" hidden="false" customHeight="false" outlineLevel="0" collapsed="false">
      <c r="B13" s="22" t="s">
        <v>47</v>
      </c>
      <c r="C13" s="20" t="n">
        <v>0.17</v>
      </c>
      <c r="D13" s="23" t="n">
        <v>6</v>
      </c>
      <c r="E13" s="20" t="n">
        <v>0</v>
      </c>
      <c r="F13" s="23" t="n">
        <v>0</v>
      </c>
      <c r="G13" s="24" t="n">
        <v>14</v>
      </c>
      <c r="H13" s="25" t="s">
        <v>48</v>
      </c>
    </row>
    <row r="14" customFormat="false" ht="15" hidden="false" customHeight="false" outlineLevel="0" collapsed="false">
      <c r="B14" s="22" t="s">
        <v>49</v>
      </c>
      <c r="C14" s="20" t="n">
        <v>0.2</v>
      </c>
      <c r="D14" s="23" t="n">
        <v>4</v>
      </c>
      <c r="E14" s="20" t="n">
        <v>0</v>
      </c>
      <c r="F14" s="23" t="n">
        <v>0</v>
      </c>
      <c r="G14" s="24" t="n">
        <v>7</v>
      </c>
      <c r="H14" s="25" t="s">
        <v>50</v>
      </c>
    </row>
    <row r="15" customFormat="false" ht="15" hidden="false" customHeight="false" outlineLevel="0" collapsed="false">
      <c r="B15" s="22" t="s">
        <v>51</v>
      </c>
      <c r="C15" s="20" t="n">
        <v>0.15</v>
      </c>
      <c r="D15" s="23" t="n">
        <v>0</v>
      </c>
      <c r="E15" s="20" t="n">
        <v>0</v>
      </c>
      <c r="F15" s="23" t="n">
        <v>0</v>
      </c>
      <c r="G15" s="24" t="n">
        <v>14</v>
      </c>
      <c r="H15" s="25" t="s">
        <v>52</v>
      </c>
    </row>
    <row r="16" customFormat="false" ht="15" hidden="false" customHeight="false" outlineLevel="0" collapsed="false">
      <c r="B16" s="22" t="s">
        <v>53</v>
      </c>
      <c r="C16" s="20" t="n">
        <v>0.16</v>
      </c>
      <c r="D16" s="23" t="n">
        <v>0</v>
      </c>
      <c r="E16" s="20" t="n">
        <v>0</v>
      </c>
      <c r="F16" s="23" t="n">
        <v>0</v>
      </c>
      <c r="G16" s="24" t="n">
        <v>30</v>
      </c>
      <c r="H16" s="25" t="s">
        <v>54</v>
      </c>
    </row>
    <row r="17" customFormat="false" ht="15" hidden="false" customHeight="false" outlineLevel="0" collapsed="false">
      <c r="B17" s="22" t="s">
        <v>55</v>
      </c>
      <c r="C17" s="20" t="n">
        <v>0</v>
      </c>
      <c r="D17" s="23" t="n">
        <v>0</v>
      </c>
      <c r="E17" s="20" t="n">
        <v>0.0399</v>
      </c>
      <c r="F17" s="23" t="n">
        <v>0</v>
      </c>
      <c r="G17" s="24" t="n">
        <v>2</v>
      </c>
      <c r="H17" s="25" t="s">
        <v>56</v>
      </c>
    </row>
    <row r="20" customFormat="false" ht="24.75" hidden="false" customHeight="true" outlineLevel="0" collapsed="false">
      <c r="B20" s="16" t="s">
        <v>57</v>
      </c>
      <c r="C20" s="16"/>
      <c r="D20" s="16"/>
      <c r="E20" s="16"/>
      <c r="F20" s="16"/>
      <c r="G20" s="16"/>
      <c r="H20" s="16"/>
    </row>
    <row r="21" customFormat="false" ht="24.75" hidden="false" customHeight="true" outlineLevel="0" collapsed="false">
      <c r="B21" s="21" t="s">
        <v>58</v>
      </c>
      <c r="C21" s="21" t="s">
        <v>59</v>
      </c>
      <c r="D21" s="21" t="s">
        <v>60</v>
      </c>
      <c r="E21" s="21" t="s">
        <v>61</v>
      </c>
      <c r="F21" s="21"/>
      <c r="G21" s="21"/>
      <c r="H21" s="21"/>
    </row>
    <row r="22" customFormat="false" ht="23.85" hidden="false" customHeight="true" outlineLevel="0" collapsed="false">
      <c r="B22" s="26" t="s">
        <v>62</v>
      </c>
      <c r="C22" s="26" t="s">
        <v>63</v>
      </c>
      <c r="D22" s="26" t="s">
        <v>64</v>
      </c>
      <c r="E22" s="26" t="s">
        <v>65</v>
      </c>
      <c r="F22" s="26"/>
      <c r="G22" s="26"/>
      <c r="H22" s="26"/>
    </row>
    <row r="23" customFormat="false" ht="23.85" hidden="false" customHeight="true" outlineLevel="0" collapsed="false">
      <c r="B23" s="26" t="s">
        <v>62</v>
      </c>
      <c r="C23" s="26" t="s">
        <v>63</v>
      </c>
      <c r="D23" s="26" t="s">
        <v>66</v>
      </c>
      <c r="E23" s="26" t="s">
        <v>67</v>
      </c>
      <c r="F23" s="26"/>
      <c r="G23" s="26"/>
      <c r="H23" s="26"/>
    </row>
    <row r="24" customFormat="false" ht="15" hidden="false" customHeight="true" outlineLevel="0" collapsed="false">
      <c r="B24" s="26" t="s">
        <v>62</v>
      </c>
      <c r="C24" s="26" t="s">
        <v>63</v>
      </c>
      <c r="D24" s="26" t="s">
        <v>68</v>
      </c>
      <c r="E24" s="26" t="s">
        <v>69</v>
      </c>
      <c r="F24" s="26"/>
      <c r="G24" s="26"/>
      <c r="H24" s="26"/>
    </row>
    <row r="25" customFormat="false" ht="23.85" hidden="false" customHeight="true" outlineLevel="0" collapsed="false">
      <c r="B25" s="26" t="s">
        <v>62</v>
      </c>
      <c r="C25" s="26" t="s">
        <v>63</v>
      </c>
      <c r="D25" s="26" t="s">
        <v>70</v>
      </c>
      <c r="E25" s="26" t="s">
        <v>71</v>
      </c>
      <c r="F25" s="26"/>
      <c r="G25" s="26"/>
      <c r="H25" s="26"/>
    </row>
    <row r="26" customFormat="false" ht="23.85" hidden="false" customHeight="true" outlineLevel="0" collapsed="false">
      <c r="B26" s="26" t="s">
        <v>62</v>
      </c>
      <c r="C26" s="26" t="s">
        <v>72</v>
      </c>
      <c r="D26" s="26" t="s">
        <v>73</v>
      </c>
      <c r="E26" s="26" t="s">
        <v>74</v>
      </c>
      <c r="F26" s="26"/>
      <c r="G26" s="26"/>
      <c r="H26" s="26"/>
    </row>
    <row r="27" customFormat="false" ht="23.85" hidden="false" customHeight="true" outlineLevel="0" collapsed="false">
      <c r="B27" s="27" t="s">
        <v>75</v>
      </c>
      <c r="C27" s="27" t="s">
        <v>76</v>
      </c>
      <c r="D27" s="27" t="s">
        <v>77</v>
      </c>
      <c r="E27" s="27" t="s">
        <v>78</v>
      </c>
      <c r="F27" s="27"/>
      <c r="G27" s="27"/>
      <c r="H27" s="27"/>
    </row>
    <row r="28" customFormat="false" ht="23.85" hidden="false" customHeight="true" outlineLevel="0" collapsed="false">
      <c r="B28" s="27" t="s">
        <v>75</v>
      </c>
      <c r="C28" s="27" t="s">
        <v>76</v>
      </c>
      <c r="D28" s="27" t="s">
        <v>79</v>
      </c>
      <c r="E28" s="27" t="s">
        <v>80</v>
      </c>
      <c r="F28" s="27"/>
      <c r="G28" s="27"/>
      <c r="H28" s="27"/>
    </row>
    <row r="29" customFormat="false" ht="23.85" hidden="false" customHeight="true" outlineLevel="0" collapsed="false">
      <c r="B29" s="27" t="s">
        <v>75</v>
      </c>
      <c r="C29" s="27" t="s">
        <v>81</v>
      </c>
      <c r="D29" s="27" t="s">
        <v>82</v>
      </c>
      <c r="E29" s="27" t="s">
        <v>83</v>
      </c>
      <c r="F29" s="27"/>
      <c r="G29" s="27"/>
      <c r="H29" s="27"/>
    </row>
    <row r="30" customFormat="false" ht="23.85" hidden="false" customHeight="true" outlineLevel="0" collapsed="false">
      <c r="B30" s="27" t="s">
        <v>75</v>
      </c>
      <c r="C30" s="27" t="s">
        <v>81</v>
      </c>
      <c r="D30" s="27" t="s">
        <v>84</v>
      </c>
      <c r="E30" s="27" t="s">
        <v>85</v>
      </c>
      <c r="F30" s="27"/>
      <c r="G30" s="27"/>
      <c r="H30" s="27"/>
    </row>
    <row r="31" customFormat="false" ht="23.85" hidden="false" customHeight="true" outlineLevel="0" collapsed="false">
      <c r="B31" s="27" t="s">
        <v>75</v>
      </c>
      <c r="C31" s="27" t="s">
        <v>81</v>
      </c>
      <c r="D31" s="27" t="s">
        <v>86</v>
      </c>
      <c r="E31" s="27" t="s">
        <v>87</v>
      </c>
      <c r="F31" s="27"/>
      <c r="G31" s="27"/>
      <c r="H31" s="27"/>
    </row>
    <row r="32" customFormat="false" ht="23.85" hidden="false" customHeight="true" outlineLevel="0" collapsed="false">
      <c r="B32" s="27" t="s">
        <v>75</v>
      </c>
      <c r="C32" s="27" t="s">
        <v>88</v>
      </c>
      <c r="D32" s="27" t="s">
        <v>89</v>
      </c>
      <c r="E32" s="27" t="s">
        <v>90</v>
      </c>
      <c r="F32" s="27"/>
      <c r="G32" s="27"/>
      <c r="H32" s="27"/>
    </row>
    <row r="33" customFormat="false" ht="23.85" hidden="false" customHeight="true" outlineLevel="0" collapsed="false">
      <c r="B33" s="27" t="s">
        <v>75</v>
      </c>
      <c r="C33" s="27" t="s">
        <v>91</v>
      </c>
      <c r="D33" s="27" t="s">
        <v>92</v>
      </c>
      <c r="E33" s="27" t="s">
        <v>93</v>
      </c>
      <c r="F33" s="27"/>
      <c r="G33" s="27"/>
      <c r="H33" s="27"/>
    </row>
    <row r="34" customFormat="false" ht="23.85" hidden="false" customHeight="true" outlineLevel="0" collapsed="false">
      <c r="B34" s="27" t="s">
        <v>75</v>
      </c>
      <c r="C34" s="27" t="s">
        <v>91</v>
      </c>
      <c r="D34" s="27" t="s">
        <v>94</v>
      </c>
      <c r="E34" s="27" t="s">
        <v>95</v>
      </c>
      <c r="F34" s="27"/>
      <c r="G34" s="27"/>
      <c r="H34" s="27"/>
    </row>
    <row r="35" customFormat="false" ht="23.85" hidden="false" customHeight="true" outlineLevel="0" collapsed="false">
      <c r="B35" s="27" t="s">
        <v>75</v>
      </c>
      <c r="C35" s="27" t="s">
        <v>91</v>
      </c>
      <c r="D35" s="27" t="s">
        <v>96</v>
      </c>
      <c r="E35" s="27" t="s">
        <v>97</v>
      </c>
      <c r="F35" s="27"/>
      <c r="G35" s="27"/>
      <c r="H35" s="27"/>
    </row>
    <row r="36" customFormat="false" ht="23.85" hidden="false" customHeight="true" outlineLevel="0" collapsed="false">
      <c r="B36" s="27" t="s">
        <v>75</v>
      </c>
      <c r="C36" s="27" t="s">
        <v>91</v>
      </c>
      <c r="D36" s="27" t="s">
        <v>98</v>
      </c>
      <c r="E36" s="27" t="s">
        <v>99</v>
      </c>
      <c r="F36" s="27"/>
      <c r="G36" s="27"/>
      <c r="H36" s="27"/>
    </row>
    <row r="37" customFormat="false" ht="23.85" hidden="false" customHeight="true" outlineLevel="0" collapsed="false">
      <c r="B37" s="27" t="s">
        <v>75</v>
      </c>
      <c r="C37" s="27" t="s">
        <v>91</v>
      </c>
      <c r="D37" s="27" t="s">
        <v>100</v>
      </c>
      <c r="E37" s="27" t="s">
        <v>101</v>
      </c>
      <c r="F37" s="27"/>
      <c r="G37" s="27"/>
      <c r="H37" s="27"/>
    </row>
    <row r="38" customFormat="false" ht="23.85" hidden="false" customHeight="true" outlineLevel="0" collapsed="false">
      <c r="B38" s="27" t="s">
        <v>75</v>
      </c>
      <c r="C38" s="27" t="s">
        <v>91</v>
      </c>
      <c r="D38" s="27" t="s">
        <v>102</v>
      </c>
      <c r="E38" s="27" t="s">
        <v>103</v>
      </c>
      <c r="F38" s="27"/>
      <c r="G38" s="27"/>
      <c r="H38" s="27"/>
    </row>
    <row r="39" customFormat="false" ht="23.85" hidden="false" customHeight="true" outlineLevel="0" collapsed="false">
      <c r="B39" s="27" t="s">
        <v>75</v>
      </c>
      <c r="C39" s="27" t="s">
        <v>104</v>
      </c>
      <c r="D39" s="27" t="s">
        <v>105</v>
      </c>
      <c r="E39" s="27" t="s">
        <v>106</v>
      </c>
      <c r="F39" s="27"/>
      <c r="G39" s="27"/>
      <c r="H39" s="27"/>
    </row>
    <row r="40" customFormat="false" ht="23.85" hidden="false" customHeight="true" outlineLevel="0" collapsed="false">
      <c r="B40" s="27" t="s">
        <v>75</v>
      </c>
      <c r="C40" s="27" t="s">
        <v>107</v>
      </c>
      <c r="D40" s="27" t="s">
        <v>108</v>
      </c>
      <c r="E40" s="27" t="s">
        <v>109</v>
      </c>
      <c r="F40" s="27"/>
      <c r="G40" s="27"/>
      <c r="H40" s="27"/>
    </row>
    <row r="41" customFormat="false" ht="23.85" hidden="false" customHeight="true" outlineLevel="0" collapsed="false">
      <c r="B41" s="27" t="s">
        <v>75</v>
      </c>
      <c r="C41" s="27" t="s">
        <v>110</v>
      </c>
      <c r="D41" s="27" t="s">
        <v>111</v>
      </c>
      <c r="E41" s="27" t="s">
        <v>112</v>
      </c>
      <c r="F41" s="27"/>
      <c r="G41" s="27"/>
      <c r="H41" s="27"/>
    </row>
  </sheetData>
  <mergeCells count="28">
    <mergeCell ref="B2:H2"/>
    <mergeCell ref="B3:H3"/>
    <mergeCell ref="B5:H5"/>
    <mergeCell ref="D6:H6"/>
    <mergeCell ref="D7:H7"/>
    <mergeCell ref="B9:H9"/>
    <mergeCell ref="B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6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8" min="6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0"/>
    <col collapsed="false" customWidth="true" hidden="false" outlineLevel="0" max="12" min="12" style="0" width="14"/>
    <col collapsed="false" customWidth="true" hidden="false" outlineLevel="0" max="13" min="13" style="0" width="13"/>
    <col collapsed="false" customWidth="true" hidden="false" outlineLevel="0" max="15" min="14" style="0" width="12"/>
    <col collapsed="false" customWidth="true" hidden="false" outlineLevel="0" max="16" min="16" style="0" width="13"/>
    <col collapsed="false" customWidth="true" hidden="false" outlineLevel="0" max="18" min="17" style="0" width="12"/>
    <col collapsed="false" customWidth="true" hidden="false" outlineLevel="0" max="19" min="19" style="0" width="13"/>
    <col collapsed="false" customWidth="true" hidden="false" outlineLevel="0" max="21" min="20" style="0" width="12"/>
  </cols>
  <sheetData>
    <row r="2" customFormat="false" ht="22.05" hidden="false" customHeight="false" outlineLevel="0" collapsed="false">
      <c r="B2" s="14" t="s">
        <v>113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customFormat="false" ht="15" hidden="false" customHeight="false" outlineLevel="0" collapsed="false">
      <c r="B3" s="15" t="s">
        <v>114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5" customFormat="false" ht="21.75" hidden="false" customHeight="true" outlineLevel="0" collapsed="false">
      <c r="B5" s="28" t="s">
        <v>115</v>
      </c>
      <c r="C5" s="28"/>
      <c r="D5" s="28"/>
      <c r="E5" s="28"/>
      <c r="F5" s="28" t="s">
        <v>116</v>
      </c>
      <c r="G5" s="28"/>
      <c r="H5" s="28"/>
      <c r="I5" s="28"/>
      <c r="J5" s="28" t="s">
        <v>117</v>
      </c>
      <c r="K5" s="28"/>
      <c r="L5" s="28"/>
      <c r="M5" s="29" t="s">
        <v>118</v>
      </c>
      <c r="N5" s="29"/>
      <c r="O5" s="29"/>
      <c r="P5" s="30" t="s">
        <v>119</v>
      </c>
      <c r="Q5" s="30"/>
      <c r="R5" s="30"/>
      <c r="S5" s="31" t="s">
        <v>120</v>
      </c>
      <c r="T5" s="31"/>
      <c r="U5" s="31"/>
    </row>
    <row r="6" customFormat="false" ht="37.5" hidden="false" customHeight="true" outlineLevel="0" collapsed="false">
      <c r="B6" s="21" t="s">
        <v>121</v>
      </c>
      <c r="C6" s="21" t="s">
        <v>122</v>
      </c>
      <c r="D6" s="21" t="s">
        <v>60</v>
      </c>
      <c r="E6" s="21" t="s">
        <v>123</v>
      </c>
      <c r="F6" s="21" t="s">
        <v>124</v>
      </c>
      <c r="G6" s="21" t="s">
        <v>125</v>
      </c>
      <c r="H6" s="21" t="s">
        <v>126</v>
      </c>
      <c r="I6" s="21" t="s">
        <v>127</v>
      </c>
      <c r="J6" s="21" t="s">
        <v>128</v>
      </c>
      <c r="K6" s="21" t="s">
        <v>129</v>
      </c>
      <c r="L6" s="21" t="s">
        <v>130</v>
      </c>
      <c r="M6" s="21" t="s">
        <v>131</v>
      </c>
      <c r="N6" s="21" t="s">
        <v>132</v>
      </c>
      <c r="O6" s="21" t="s">
        <v>133</v>
      </c>
      <c r="P6" s="21" t="s">
        <v>131</v>
      </c>
      <c r="Q6" s="21" t="s">
        <v>132</v>
      </c>
      <c r="R6" s="21" t="s">
        <v>133</v>
      </c>
      <c r="S6" s="21" t="s">
        <v>131</v>
      </c>
      <c r="T6" s="21" t="s">
        <v>132</v>
      </c>
      <c r="U6" s="21" t="s">
        <v>133</v>
      </c>
    </row>
    <row r="7" customFormat="false" ht="15" hidden="false" customHeight="false" outlineLevel="0" collapsed="false">
      <c r="B7" s="32" t="s">
        <v>134</v>
      </c>
      <c r="C7" s="32" t="s">
        <v>135</v>
      </c>
      <c r="D7" s="32" t="s">
        <v>136</v>
      </c>
      <c r="E7" s="24" t="n">
        <v>50</v>
      </c>
      <c r="F7" s="23" t="n">
        <v>28</v>
      </c>
      <c r="G7" s="23" t="n">
        <v>2.5</v>
      </c>
      <c r="H7" s="23" t="n">
        <v>3</v>
      </c>
      <c r="I7" s="33" t="n">
        <f aca="false">F7+G7+H7</f>
        <v>33.5</v>
      </c>
      <c r="J7" s="20" t="n">
        <v>0.5</v>
      </c>
      <c r="K7" s="34" t="n">
        <f aca="false">IFERROR(1/(1-J7-Aliquota_Impostos),0)</f>
        <v>2.27272727272727</v>
      </c>
      <c r="L7" s="23" t="n">
        <v>79.9</v>
      </c>
      <c r="M7" s="33" t="n">
        <f aca="false">IFERROR((I7+'⚙️ Parâmetros'!$D$11)/(1-J7-Aliquota_Impostos-'⚙️ Parâmetros'!$C$11-'⚙️ Parâmetros'!$E$11),0)</f>
        <v>83.7290677330667</v>
      </c>
      <c r="N7" s="35" t="n">
        <f aca="false">IF(L7=0,0,L7-I7-(L7*Aliquota_Impostos)-(L7*'⚙️ Parâmetros'!$C$11)-'⚙️ Parâmetros'!$D$11-(L7*'⚙️ Parâmetros'!$E$11))</f>
        <v>38.41799</v>
      </c>
      <c r="O7" s="36" t="n">
        <f aca="false">IFERROR(N7/L7,0)</f>
        <v>0.48082590738423</v>
      </c>
      <c r="P7" s="33" t="n">
        <f aca="false">IFERROR((I7+'⚙️ Parâmetros'!$D$12)/(1-J7-Aliquota_Impostos-'⚙️ Parâmetros'!$C$12-'⚙️ Parâmetros'!$E$12),0)</f>
        <v>127.41935483871</v>
      </c>
      <c r="Q7" s="35" t="n">
        <f aca="false">IF(L7=0,0,L7-I7-(L7*Aliquota_Impostos)-(L7*'⚙️ Parâmetros'!$C$12)-'⚙️ Parâmetros'!$D$12-(L7*'⚙️ Parâmetros'!$E$12))</f>
        <v>25.219</v>
      </c>
      <c r="R7" s="36" t="n">
        <f aca="false">IFERROR(Q7/L7,0)</f>
        <v>0.315632040050063</v>
      </c>
      <c r="S7" s="33" t="n">
        <f aca="false">IFERROR((I7+'⚙️ Parâmetros'!$D$14)/(1-J7-Aliquota_Impostos-'⚙️ Parâmetros'!$C$14-'⚙️ Parâmetros'!$E$14),0)</f>
        <v>156.25</v>
      </c>
      <c r="T7" s="35" t="n">
        <f aca="false">IF(L7=0,0,L7-I7-(L7*Aliquota_Impostos)-(L7*'⚙️ Parâmetros'!$C$14)-'⚙️ Parâmetros'!$D$14-(L7*'⚙️ Parâmetros'!$E$14))</f>
        <v>21.626</v>
      </c>
      <c r="U7" s="36" t="n">
        <f aca="false">IFERROR(T7/L7,0)</f>
        <v>0.270663329161452</v>
      </c>
    </row>
    <row r="8" customFormat="false" ht="23.85" hidden="false" customHeight="false" outlineLevel="0" collapsed="false">
      <c r="B8" s="32" t="s">
        <v>137</v>
      </c>
      <c r="C8" s="32" t="s">
        <v>138</v>
      </c>
      <c r="D8" s="32" t="s">
        <v>139</v>
      </c>
      <c r="E8" s="24" t="n">
        <v>120</v>
      </c>
      <c r="F8" s="23" t="n">
        <v>12</v>
      </c>
      <c r="G8" s="23" t="n">
        <v>1.5</v>
      </c>
      <c r="H8" s="23" t="n">
        <v>2.5</v>
      </c>
      <c r="I8" s="33" t="n">
        <f aca="false">F8+G8+H8</f>
        <v>16</v>
      </c>
      <c r="J8" s="20" t="n">
        <v>0.6</v>
      </c>
      <c r="K8" s="34" t="n">
        <f aca="false">IFERROR(1/(1-J8-Aliquota_Impostos),0)</f>
        <v>2.94117647058824</v>
      </c>
      <c r="L8" s="23" t="n">
        <v>49.9</v>
      </c>
      <c r="M8" s="33" t="n">
        <f aca="false">IFERROR((I8+'⚙️ Parâmetros'!$D$11)/(1-J8-Aliquota_Impostos-'⚙️ Parâmetros'!$C$11-'⚙️ Parâmetros'!$E$11),0)</f>
        <v>53.3155614795068</v>
      </c>
      <c r="N8" s="35" t="n">
        <f aca="false">IF(L8=0,0,L8-I8-(L8*Aliquota_Impostos)-(L8*'⚙️ Parâmetros'!$C$11)-'⚙️ Parâmetros'!$D$11-(L8*'⚙️ Parâmetros'!$E$11))</f>
        <v>28.91499</v>
      </c>
      <c r="O8" s="36" t="n">
        <f aca="false">IFERROR(N8/L8,0)</f>
        <v>0.57945871743487</v>
      </c>
      <c r="P8" s="33" t="n">
        <f aca="false">IFERROR((I8+'⚙️ Parâmetros'!$D$12)/(1-J8-Aliquota_Impostos-'⚙️ Parâmetros'!$C$12-'⚙️ Parâmetros'!$E$12),0)</f>
        <v>104.761904761905</v>
      </c>
      <c r="Q8" s="35" t="n">
        <f aca="false">IF(L8=0,0,L8-I8-(L8*Aliquota_Impostos)-(L8*'⚙️ Parâmetros'!$C$12)-'⚙️ Parâmetros'!$D$12-(L8*'⚙️ Parâmetros'!$E$12))</f>
        <v>18.419</v>
      </c>
      <c r="R8" s="36" t="n">
        <f aca="false">IFERROR(Q8/L8,0)</f>
        <v>0.369118236472946</v>
      </c>
      <c r="S8" s="33" t="n">
        <f aca="false">IFERROR((I8+'⚙️ Parâmetros'!$D$14)/(1-J8-Aliquota_Impostos-'⚙️ Parâmetros'!$C$14-'⚙️ Parâmetros'!$E$14),0)</f>
        <v>142.857142857143</v>
      </c>
      <c r="T8" s="35" t="n">
        <f aca="false">IF(L8=0,0,L8-I8-(L8*Aliquota_Impostos)-(L8*'⚙️ Parâmetros'!$C$14)-'⚙️ Parâmetros'!$D$14-(L8*'⚙️ Parâmetros'!$E$14))</f>
        <v>16.926</v>
      </c>
      <c r="U8" s="36" t="n">
        <f aca="false">IFERROR(T8/L8,0)</f>
        <v>0.339198396793587</v>
      </c>
    </row>
    <row r="9" customFormat="false" ht="15" hidden="false" customHeight="false" outlineLevel="0" collapsed="false">
      <c r="B9" s="32" t="s">
        <v>140</v>
      </c>
      <c r="C9" s="32" t="s">
        <v>141</v>
      </c>
      <c r="D9" s="32" t="s">
        <v>142</v>
      </c>
      <c r="E9" s="24" t="n">
        <v>35</v>
      </c>
      <c r="F9" s="23" t="n">
        <v>89</v>
      </c>
      <c r="G9" s="23" t="n">
        <v>4</v>
      </c>
      <c r="H9" s="23" t="n">
        <v>5</v>
      </c>
      <c r="I9" s="33" t="n">
        <f aca="false">F9+G9+H9</f>
        <v>98</v>
      </c>
      <c r="J9" s="20" t="n">
        <v>0.45</v>
      </c>
      <c r="K9" s="34" t="n">
        <f aca="false">IFERROR(1/(1-J9-Aliquota_Impostos),0)</f>
        <v>2.04081632653061</v>
      </c>
      <c r="L9" s="23" t="n">
        <v>199.9</v>
      </c>
      <c r="M9" s="33" t="n">
        <f aca="false">IFERROR((I9+'⚙️ Parâmetros'!$D$11)/(1-J9-Aliquota_Impostos-'⚙️ Parâmetros'!$C$11-'⚙️ Parâmetros'!$E$11),0)</f>
        <v>217.729393468118</v>
      </c>
      <c r="N9" s="35" t="n">
        <f aca="false">IF(L9=0,0,L9-I9-(L9*Aliquota_Impostos)-(L9*'⚙️ Parâmetros'!$C$11)-'⚙️ Parâmetros'!$D$11-(L9*'⚙️ Parâmetros'!$E$11))</f>
        <v>81.92999</v>
      </c>
      <c r="O9" s="36" t="n">
        <f aca="false">IFERROR(N9/L9,0)</f>
        <v>0.409854877438719</v>
      </c>
      <c r="P9" s="33" t="n">
        <f aca="false">IFERROR((I9+'⚙️ Parâmetros'!$D$12)/(1-J9-Aliquota_Impostos-'⚙️ Parâmetros'!$C$12-'⚙️ Parâmetros'!$E$12),0)</f>
        <v>288.888888888889</v>
      </c>
      <c r="Q9" s="35" t="n">
        <f aca="false">IF(L9=0,0,L9-I9-(L9*Aliquota_Impostos)-(L9*'⚙️ Parâmetros'!$C$12)-'⚙️ Parâmetros'!$D$12-(L9*'⚙️ Parâmetros'!$E$12))</f>
        <v>57.919</v>
      </c>
      <c r="R9" s="36" t="n">
        <f aca="false">IFERROR(Q9/L9,0)</f>
        <v>0.289739869934968</v>
      </c>
      <c r="S9" s="33" t="n">
        <f aca="false">IFERROR((I9+'⚙️ Parâmetros'!$D$14)/(1-J9-Aliquota_Impostos-'⚙️ Parâmetros'!$C$14-'⚙️ Parâmetros'!$E$14),0)</f>
        <v>351.724137931034</v>
      </c>
      <c r="T9" s="35" t="n">
        <f aca="false">IF(L9=0,0,L9-I9-(L9*Aliquota_Impostos)-(L9*'⚙️ Parâmetros'!$C$14)-'⚙️ Parâmetros'!$D$14-(L9*'⚙️ Parâmetros'!$E$14))</f>
        <v>45.926</v>
      </c>
      <c r="U9" s="36" t="n">
        <f aca="false">IFERROR(T9/L9,0)</f>
        <v>0.229744872436218</v>
      </c>
    </row>
    <row r="10" customFormat="false" ht="15" hidden="false" customHeight="false" outlineLevel="0" collapsed="false">
      <c r="B10" s="32" t="s">
        <v>143</v>
      </c>
      <c r="C10" s="32" t="s">
        <v>144</v>
      </c>
      <c r="D10" s="32" t="s">
        <v>145</v>
      </c>
      <c r="E10" s="24" t="n">
        <v>18</v>
      </c>
      <c r="F10" s="23" t="n">
        <v>145</v>
      </c>
      <c r="G10" s="23" t="n">
        <v>8</v>
      </c>
      <c r="H10" s="23" t="n">
        <v>6</v>
      </c>
      <c r="I10" s="33" t="n">
        <f aca="false">F10+G10+H10</f>
        <v>159</v>
      </c>
      <c r="J10" s="20" t="n">
        <v>0.4</v>
      </c>
      <c r="K10" s="34" t="n">
        <f aca="false">IFERROR(1/(1-J10-Aliquota_Impostos),0)</f>
        <v>1.85185185185185</v>
      </c>
      <c r="L10" s="23" t="n">
        <v>349.9</v>
      </c>
      <c r="M10" s="33" t="n">
        <f aca="false">IFERROR((I10+'⚙️ Parâmetros'!$D$11)/(1-J10-Aliquota_Impostos-'⚙️ Parâmetros'!$C$11-'⚙️ Parâmetros'!$E$11),0)</f>
        <v>317.936412717457</v>
      </c>
      <c r="N10" s="35" t="n">
        <f aca="false">IF(L10=0,0,L10-I10-(L10*Aliquota_Impostos)-(L10*'⚙️ Parâmetros'!$C$11)-'⚙️ Parâmetros'!$D$11-(L10*'⚙️ Parâmetros'!$E$11))</f>
        <v>155.94499</v>
      </c>
      <c r="O10" s="36" t="n">
        <f aca="false">IFERROR(N10/L10,0)</f>
        <v>0.445684452700772</v>
      </c>
      <c r="P10" s="33" t="n">
        <f aca="false">IFERROR((I10+'⚙️ Parâmetros'!$D$12)/(1-J10-Aliquota_Impostos-'⚙️ Parâmetros'!$C$12-'⚙️ Parâmetros'!$E$12),0)</f>
        <v>402.439024390244</v>
      </c>
      <c r="Q10" s="35" t="n">
        <f aca="false">IF(L10=0,0,L10-I10-(L10*Aliquota_Impostos)-(L10*'⚙️ Parâmetros'!$C$12)-'⚙️ Parâmetros'!$D$12-(L10*'⚙️ Parâmetros'!$E$12))</f>
        <v>118.419</v>
      </c>
      <c r="R10" s="36" t="n">
        <f aca="false">IFERROR(Q10/L10,0)</f>
        <v>0.338436696198914</v>
      </c>
      <c r="S10" s="33" t="n">
        <f aca="false">IFERROR((I10+'⚙️ Parâmetros'!$D$14)/(1-J10-Aliquota_Impostos-'⚙️ Parâmetros'!$C$14-'⚙️ Parâmetros'!$E$14),0)</f>
        <v>479.411764705882</v>
      </c>
      <c r="T10" s="35" t="n">
        <f aca="false">IF(L10=0,0,L10-I10-(L10*Aliquota_Impostos)-(L10*'⚙️ Parâmetros'!$C$14)-'⚙️ Parâmetros'!$D$14-(L10*'⚙️ Parâmetros'!$E$14))</f>
        <v>95.926</v>
      </c>
      <c r="U10" s="36" t="n">
        <f aca="false">IFERROR(T10/L10,0)</f>
        <v>0.274152615032867</v>
      </c>
    </row>
    <row r="11" customFormat="false" ht="15" hidden="false" customHeight="false" outlineLevel="0" collapsed="false">
      <c r="B11" s="32" t="s">
        <v>146</v>
      </c>
      <c r="C11" s="32" t="s">
        <v>147</v>
      </c>
      <c r="D11" s="32" t="s">
        <v>148</v>
      </c>
      <c r="E11" s="24" t="n">
        <v>60</v>
      </c>
      <c r="F11" s="23" t="n">
        <v>45</v>
      </c>
      <c r="G11" s="23" t="n">
        <v>3</v>
      </c>
      <c r="H11" s="23" t="n">
        <v>4</v>
      </c>
      <c r="I11" s="33" t="n">
        <f aca="false">F11+G11+H11</f>
        <v>52</v>
      </c>
      <c r="J11" s="20" t="n">
        <v>0.55</v>
      </c>
      <c r="K11" s="34" t="n">
        <f aca="false">IFERROR(1/(1-J11-Aliquota_Impostos),0)</f>
        <v>2.56410256410256</v>
      </c>
      <c r="L11" s="23" t="n">
        <v>159.9</v>
      </c>
      <c r="M11" s="33" t="n">
        <f aca="false">IFERROR((I11+'⚙️ Parâmetros'!$D$11)/(1-J11-Aliquota_Impostos-'⚙️ Parâmetros'!$C$11-'⚙️ Parâmetros'!$E$11),0)</f>
        <v>148.528991716652</v>
      </c>
      <c r="N11" s="35" t="n">
        <f aca="false">IF(L11=0,0,L11-I11-(L11*Aliquota_Impostos)-(L11*'⚙️ Parâmetros'!$C$11)-'⚙️ Parâmetros'!$D$11-(L11*'⚙️ Parâmetros'!$E$11))</f>
        <v>91.92599</v>
      </c>
      <c r="O11" s="36" t="n">
        <f aca="false">IFERROR(N11/L11,0)</f>
        <v>0.57489674796748</v>
      </c>
      <c r="P11" s="33" t="n">
        <f aca="false">IFERROR((I11+'⚙️ Parâmetros'!$D$12)/(1-J11-Aliquota_Impostos-'⚙️ Parâmetros'!$C$12-'⚙️ Parâmetros'!$E$12),0)</f>
        <v>223.076923076923</v>
      </c>
      <c r="Q11" s="35" t="n">
        <f aca="false">IF(L11=0,0,L11-I11-(L11*Aliquota_Impostos)-(L11*'⚙️ Parâmetros'!$C$12)-'⚙️ Parâmetros'!$D$12-(L11*'⚙️ Parâmetros'!$E$12))</f>
        <v>71.519</v>
      </c>
      <c r="R11" s="36" t="n">
        <f aca="false">IFERROR(Q11/L11,0)</f>
        <v>0.447273295809881</v>
      </c>
      <c r="S11" s="33" t="n">
        <f aca="false">IFERROR((I11+'⚙️ Parâmetros'!$D$14)/(1-J11-Aliquota_Impostos-'⚙️ Parâmetros'!$C$14-'⚙️ Parâmetros'!$E$14),0)</f>
        <v>294.736842105263</v>
      </c>
      <c r="T11" s="35" t="n">
        <f aca="false">IF(L11=0,0,L11-I11-(L11*Aliquota_Impostos)-(L11*'⚙️ Parâmetros'!$C$14)-'⚙️ Parâmetros'!$D$14-(L11*'⚙️ Parâmetros'!$E$14))</f>
        <v>62.326</v>
      </c>
      <c r="U11" s="36" t="n">
        <f aca="false">IFERROR(T11/L11,0)</f>
        <v>0.389781113195747</v>
      </c>
    </row>
    <row r="12" customFormat="false" ht="15" hidden="false" customHeight="false" outlineLevel="0" collapsed="false">
      <c r="B12" s="32"/>
      <c r="C12" s="32"/>
      <c r="D12" s="32"/>
      <c r="E12" s="24"/>
      <c r="F12" s="23"/>
      <c r="G12" s="23"/>
      <c r="H12" s="23"/>
      <c r="I12" s="33" t="n">
        <f aca="false">F12+G12+H12</f>
        <v>0</v>
      </c>
      <c r="J12" s="20"/>
      <c r="K12" s="34" t="n">
        <f aca="false">IFERROR(1/(1-J12-Aliquota_Impostos),0)</f>
        <v>1.06382978723404</v>
      </c>
      <c r="L12" s="23"/>
      <c r="M12" s="33" t="n">
        <f aca="false">IFERROR((I12+'⚙️ Parâmetros'!$D$11)/(1-J12-Aliquota_Impostos-'⚙️ Parâmetros'!$C$11-'⚙️ Parâmetros'!$E$11),0)</f>
        <v>0</v>
      </c>
      <c r="N12" s="35" t="n">
        <f aca="false">IF(L12=0,0,L12-I12-(L12*Aliquota_Impostos)-(L12*'⚙️ Parâmetros'!$C$11)-'⚙️ Parâmetros'!$D$11-(L12*'⚙️ Parâmetros'!$E$11))</f>
        <v>0</v>
      </c>
      <c r="O12" s="36" t="n">
        <f aca="false">IFERROR(N12/L12,0)</f>
        <v>0</v>
      </c>
      <c r="P12" s="33" t="n">
        <f aca="false">IFERROR((I12+'⚙️ Parâmetros'!$D$12)/(1-J12-Aliquota_Impostos-'⚙️ Parâmetros'!$C$12-'⚙️ Parâmetros'!$E$12),0)</f>
        <v>7.40740740740741</v>
      </c>
      <c r="Q12" s="35" t="n">
        <f aca="false">IF(L12=0,0,L12-I12-(L12*Aliquota_Impostos)-(L12*'⚙️ Parâmetros'!$C$12)-'⚙️ Parâmetros'!$D$12-(L12*'⚙️ Parâmetros'!$E$12))</f>
        <v>0</v>
      </c>
      <c r="R12" s="36" t="n">
        <f aca="false">IFERROR(Q12/L12,0)</f>
        <v>0</v>
      </c>
      <c r="S12" s="33" t="n">
        <f aca="false">IFERROR((I12+'⚙️ Parâmetros'!$D$14)/(1-J12-Aliquota_Impostos-'⚙️ Parâmetros'!$C$14-'⚙️ Parâmetros'!$E$14),0)</f>
        <v>5.40540540540541</v>
      </c>
      <c r="T12" s="35" t="n">
        <f aca="false">IF(L12=0,0,L12-I12-(L12*Aliquota_Impostos)-(L12*'⚙️ Parâmetros'!$C$14)-'⚙️ Parâmetros'!$D$14-(L12*'⚙️ Parâmetros'!$E$14))</f>
        <v>0</v>
      </c>
      <c r="U12" s="36" t="n">
        <f aca="false">IFERROR(T12/L12,0)</f>
        <v>0</v>
      </c>
    </row>
    <row r="13" customFormat="false" ht="15" hidden="false" customHeight="false" outlineLevel="0" collapsed="false">
      <c r="B13" s="32"/>
      <c r="C13" s="32"/>
      <c r="D13" s="32"/>
      <c r="E13" s="24"/>
      <c r="F13" s="23"/>
      <c r="G13" s="23"/>
      <c r="H13" s="23"/>
      <c r="I13" s="33" t="n">
        <f aca="false">F13+G13+H13</f>
        <v>0</v>
      </c>
      <c r="J13" s="20"/>
      <c r="K13" s="34" t="n">
        <f aca="false">IFERROR(1/(1-J13-Aliquota_Impostos),0)</f>
        <v>1.06382978723404</v>
      </c>
      <c r="L13" s="23"/>
      <c r="M13" s="33" t="n">
        <f aca="false">IFERROR((I13+'⚙️ Parâmetros'!$D$11)/(1-J13-Aliquota_Impostos-'⚙️ Parâmetros'!$C$11-'⚙️ Parâmetros'!$E$11),0)</f>
        <v>0</v>
      </c>
      <c r="N13" s="35" t="n">
        <f aca="false">IF(L13=0,0,L13-I13-(L13*Aliquota_Impostos)-(L13*'⚙️ Parâmetros'!$C$11)-'⚙️ Parâmetros'!$D$11-(L13*'⚙️ Parâmetros'!$E$11))</f>
        <v>0</v>
      </c>
      <c r="O13" s="36" t="n">
        <f aca="false">IFERROR(N13/L13,0)</f>
        <v>0</v>
      </c>
      <c r="P13" s="33" t="n">
        <f aca="false">IFERROR((I13+'⚙️ Parâmetros'!$D$12)/(1-J13-Aliquota_Impostos-'⚙️ Parâmetros'!$C$12-'⚙️ Parâmetros'!$E$12),0)</f>
        <v>7.40740740740741</v>
      </c>
      <c r="Q13" s="35" t="n">
        <f aca="false">IF(L13=0,0,L13-I13-(L13*Aliquota_Impostos)-(L13*'⚙️ Parâmetros'!$C$12)-'⚙️ Parâmetros'!$D$12-(L13*'⚙️ Parâmetros'!$E$12))</f>
        <v>0</v>
      </c>
      <c r="R13" s="36" t="n">
        <f aca="false">IFERROR(Q13/L13,0)</f>
        <v>0</v>
      </c>
      <c r="S13" s="33" t="n">
        <f aca="false">IFERROR((I13+'⚙️ Parâmetros'!$D$14)/(1-J13-Aliquota_Impostos-'⚙️ Parâmetros'!$C$14-'⚙️ Parâmetros'!$E$14),0)</f>
        <v>5.40540540540541</v>
      </c>
      <c r="T13" s="35" t="n">
        <f aca="false">IF(L13=0,0,L13-I13-(L13*Aliquota_Impostos)-(L13*'⚙️ Parâmetros'!$C$14)-'⚙️ Parâmetros'!$D$14-(L13*'⚙️ Parâmetros'!$E$14))</f>
        <v>0</v>
      </c>
      <c r="U13" s="36" t="n">
        <f aca="false">IFERROR(T13/L13,0)</f>
        <v>0</v>
      </c>
    </row>
    <row r="14" customFormat="false" ht="15" hidden="false" customHeight="false" outlineLevel="0" collapsed="false">
      <c r="B14" s="32"/>
      <c r="C14" s="32"/>
      <c r="D14" s="32"/>
      <c r="E14" s="24"/>
      <c r="F14" s="23"/>
      <c r="G14" s="23"/>
      <c r="H14" s="23"/>
      <c r="I14" s="33" t="n">
        <f aca="false">F14+G14+H14</f>
        <v>0</v>
      </c>
      <c r="J14" s="20"/>
      <c r="K14" s="34" t="n">
        <f aca="false">IFERROR(1/(1-J14-Aliquota_Impostos),0)</f>
        <v>1.06382978723404</v>
      </c>
      <c r="L14" s="23"/>
      <c r="M14" s="33" t="n">
        <f aca="false">IFERROR((I14+'⚙️ Parâmetros'!$D$11)/(1-J14-Aliquota_Impostos-'⚙️ Parâmetros'!$C$11-'⚙️ Parâmetros'!$E$11),0)</f>
        <v>0</v>
      </c>
      <c r="N14" s="35" t="n">
        <f aca="false">IF(L14=0,0,L14-I14-(L14*Aliquota_Impostos)-(L14*'⚙️ Parâmetros'!$C$11)-'⚙️ Parâmetros'!$D$11-(L14*'⚙️ Parâmetros'!$E$11))</f>
        <v>0</v>
      </c>
      <c r="O14" s="36" t="n">
        <f aca="false">IFERROR(N14/L14,0)</f>
        <v>0</v>
      </c>
      <c r="P14" s="33" t="n">
        <f aca="false">IFERROR((I14+'⚙️ Parâmetros'!$D$12)/(1-J14-Aliquota_Impostos-'⚙️ Parâmetros'!$C$12-'⚙️ Parâmetros'!$E$12),0)</f>
        <v>7.40740740740741</v>
      </c>
      <c r="Q14" s="35" t="n">
        <f aca="false">IF(L14=0,0,L14-I14-(L14*Aliquota_Impostos)-(L14*'⚙️ Parâmetros'!$C$12)-'⚙️ Parâmetros'!$D$12-(L14*'⚙️ Parâmetros'!$E$12))</f>
        <v>0</v>
      </c>
      <c r="R14" s="36" t="n">
        <f aca="false">IFERROR(Q14/L14,0)</f>
        <v>0</v>
      </c>
      <c r="S14" s="33" t="n">
        <f aca="false">IFERROR((I14+'⚙️ Parâmetros'!$D$14)/(1-J14-Aliquota_Impostos-'⚙️ Parâmetros'!$C$14-'⚙️ Parâmetros'!$E$14),0)</f>
        <v>5.40540540540541</v>
      </c>
      <c r="T14" s="35" t="n">
        <f aca="false">IF(L14=0,0,L14-I14-(L14*Aliquota_Impostos)-(L14*'⚙️ Parâmetros'!$C$14)-'⚙️ Parâmetros'!$D$14-(L14*'⚙️ Parâmetros'!$E$14))</f>
        <v>0</v>
      </c>
      <c r="U14" s="36" t="n">
        <f aca="false">IFERROR(T14/L14,0)</f>
        <v>0</v>
      </c>
    </row>
    <row r="15" customFormat="false" ht="15" hidden="false" customHeight="false" outlineLevel="0" collapsed="false">
      <c r="B15" s="32"/>
      <c r="C15" s="32"/>
      <c r="D15" s="32"/>
      <c r="E15" s="24"/>
      <c r="F15" s="23"/>
      <c r="G15" s="23"/>
      <c r="H15" s="23"/>
      <c r="I15" s="33" t="n">
        <f aca="false">F15+G15+H15</f>
        <v>0</v>
      </c>
      <c r="J15" s="20"/>
      <c r="K15" s="34" t="n">
        <f aca="false">IFERROR(1/(1-J15-Aliquota_Impostos),0)</f>
        <v>1.06382978723404</v>
      </c>
      <c r="L15" s="23"/>
      <c r="M15" s="33" t="n">
        <f aca="false">IFERROR((I15+'⚙️ Parâmetros'!$D$11)/(1-J15-Aliquota_Impostos-'⚙️ Parâmetros'!$C$11-'⚙️ Parâmetros'!$E$11),0)</f>
        <v>0</v>
      </c>
      <c r="N15" s="35" t="n">
        <f aca="false">IF(L15=0,0,L15-I15-(L15*Aliquota_Impostos)-(L15*'⚙️ Parâmetros'!$C$11)-'⚙️ Parâmetros'!$D$11-(L15*'⚙️ Parâmetros'!$E$11))</f>
        <v>0</v>
      </c>
      <c r="O15" s="36" t="n">
        <f aca="false">IFERROR(N15/L15,0)</f>
        <v>0</v>
      </c>
      <c r="P15" s="33" t="n">
        <f aca="false">IFERROR((I15+'⚙️ Parâmetros'!$D$12)/(1-J15-Aliquota_Impostos-'⚙️ Parâmetros'!$C$12-'⚙️ Parâmetros'!$E$12),0)</f>
        <v>7.40740740740741</v>
      </c>
      <c r="Q15" s="35" t="n">
        <f aca="false">IF(L15=0,0,L15-I15-(L15*Aliquota_Impostos)-(L15*'⚙️ Parâmetros'!$C$12)-'⚙️ Parâmetros'!$D$12-(L15*'⚙️ Parâmetros'!$E$12))</f>
        <v>0</v>
      </c>
      <c r="R15" s="36" t="n">
        <f aca="false">IFERROR(Q15/L15,0)</f>
        <v>0</v>
      </c>
      <c r="S15" s="33" t="n">
        <f aca="false">IFERROR((I15+'⚙️ Parâmetros'!$D$14)/(1-J15-Aliquota_Impostos-'⚙️ Parâmetros'!$C$14-'⚙️ Parâmetros'!$E$14),0)</f>
        <v>5.40540540540541</v>
      </c>
      <c r="T15" s="35" t="n">
        <f aca="false">IF(L15=0,0,L15-I15-(L15*Aliquota_Impostos)-(L15*'⚙️ Parâmetros'!$C$14)-'⚙️ Parâmetros'!$D$14-(L15*'⚙️ Parâmetros'!$E$14))</f>
        <v>0</v>
      </c>
      <c r="U15" s="36" t="n">
        <f aca="false">IFERROR(T15/L15,0)</f>
        <v>0</v>
      </c>
    </row>
    <row r="16" customFormat="false" ht="15" hidden="false" customHeight="false" outlineLevel="0" collapsed="false">
      <c r="B16" s="32"/>
      <c r="C16" s="32"/>
      <c r="D16" s="32"/>
      <c r="E16" s="24"/>
      <c r="F16" s="23"/>
      <c r="G16" s="23"/>
      <c r="H16" s="23"/>
      <c r="I16" s="33" t="n">
        <f aca="false">F16+G16+H16</f>
        <v>0</v>
      </c>
      <c r="J16" s="20"/>
      <c r="K16" s="34" t="n">
        <f aca="false">IFERROR(1/(1-J16-Aliquota_Impostos),0)</f>
        <v>1.06382978723404</v>
      </c>
      <c r="L16" s="23"/>
      <c r="M16" s="33" t="n">
        <f aca="false">IFERROR((I16+'⚙️ Parâmetros'!$D$11)/(1-J16-Aliquota_Impostos-'⚙️ Parâmetros'!$C$11-'⚙️ Parâmetros'!$E$11),0)</f>
        <v>0</v>
      </c>
      <c r="N16" s="35" t="n">
        <f aca="false">IF(L16=0,0,L16-I16-(L16*Aliquota_Impostos)-(L16*'⚙️ Parâmetros'!$C$11)-'⚙️ Parâmetros'!$D$11-(L16*'⚙️ Parâmetros'!$E$11))</f>
        <v>0</v>
      </c>
      <c r="O16" s="36" t="n">
        <f aca="false">IFERROR(N16/L16,0)</f>
        <v>0</v>
      </c>
      <c r="P16" s="33" t="n">
        <f aca="false">IFERROR((I16+'⚙️ Parâmetros'!$D$12)/(1-J16-Aliquota_Impostos-'⚙️ Parâmetros'!$C$12-'⚙️ Parâmetros'!$E$12),0)</f>
        <v>7.40740740740741</v>
      </c>
      <c r="Q16" s="35" t="n">
        <f aca="false">IF(L16=0,0,L16-I16-(L16*Aliquota_Impostos)-(L16*'⚙️ Parâmetros'!$C$12)-'⚙️ Parâmetros'!$D$12-(L16*'⚙️ Parâmetros'!$E$12))</f>
        <v>0</v>
      </c>
      <c r="R16" s="36" t="n">
        <f aca="false">IFERROR(Q16/L16,0)</f>
        <v>0</v>
      </c>
      <c r="S16" s="33" t="n">
        <f aca="false">IFERROR((I16+'⚙️ Parâmetros'!$D$14)/(1-J16-Aliquota_Impostos-'⚙️ Parâmetros'!$C$14-'⚙️ Parâmetros'!$E$14),0)</f>
        <v>5.40540540540541</v>
      </c>
      <c r="T16" s="35" t="n">
        <f aca="false">IF(L16=0,0,L16-I16-(L16*Aliquota_Impostos)-(L16*'⚙️ Parâmetros'!$C$14)-'⚙️ Parâmetros'!$D$14-(L16*'⚙️ Parâmetros'!$E$14))</f>
        <v>0</v>
      </c>
      <c r="U16" s="36" t="n">
        <f aca="false">IFERROR(T16/L16,0)</f>
        <v>0</v>
      </c>
    </row>
    <row r="17" customFormat="false" ht="15" hidden="false" customHeight="false" outlineLevel="0" collapsed="false">
      <c r="B17" s="32"/>
      <c r="C17" s="32"/>
      <c r="D17" s="32"/>
      <c r="E17" s="24"/>
      <c r="F17" s="23"/>
      <c r="G17" s="23"/>
      <c r="H17" s="23"/>
      <c r="I17" s="33" t="n">
        <f aca="false">F17+G17+H17</f>
        <v>0</v>
      </c>
      <c r="J17" s="20"/>
      <c r="K17" s="34" t="n">
        <f aca="false">IFERROR(1/(1-J17-Aliquota_Impostos),0)</f>
        <v>1.06382978723404</v>
      </c>
      <c r="L17" s="23"/>
      <c r="M17" s="33" t="n">
        <f aca="false">IFERROR((I17+'⚙️ Parâmetros'!$D$11)/(1-J17-Aliquota_Impostos-'⚙️ Parâmetros'!$C$11-'⚙️ Parâmetros'!$E$11),0)</f>
        <v>0</v>
      </c>
      <c r="N17" s="35" t="n">
        <f aca="false">IF(L17=0,0,L17-I17-(L17*Aliquota_Impostos)-(L17*'⚙️ Parâmetros'!$C$11)-'⚙️ Parâmetros'!$D$11-(L17*'⚙️ Parâmetros'!$E$11))</f>
        <v>0</v>
      </c>
      <c r="O17" s="36" t="n">
        <f aca="false">IFERROR(N17/L17,0)</f>
        <v>0</v>
      </c>
      <c r="P17" s="33" t="n">
        <f aca="false">IFERROR((I17+'⚙️ Parâmetros'!$D$12)/(1-J17-Aliquota_Impostos-'⚙️ Parâmetros'!$C$12-'⚙️ Parâmetros'!$E$12),0)</f>
        <v>7.40740740740741</v>
      </c>
      <c r="Q17" s="35" t="n">
        <f aca="false">IF(L17=0,0,L17-I17-(L17*Aliquota_Impostos)-(L17*'⚙️ Parâmetros'!$C$12)-'⚙️ Parâmetros'!$D$12-(L17*'⚙️ Parâmetros'!$E$12))</f>
        <v>0</v>
      </c>
      <c r="R17" s="36" t="n">
        <f aca="false">IFERROR(Q17/L17,0)</f>
        <v>0</v>
      </c>
      <c r="S17" s="33" t="n">
        <f aca="false">IFERROR((I17+'⚙️ Parâmetros'!$D$14)/(1-J17-Aliquota_Impostos-'⚙️ Parâmetros'!$C$14-'⚙️ Parâmetros'!$E$14),0)</f>
        <v>5.40540540540541</v>
      </c>
      <c r="T17" s="35" t="n">
        <f aca="false">IF(L17=0,0,L17-I17-(L17*Aliquota_Impostos)-(L17*'⚙️ Parâmetros'!$C$14)-'⚙️ Parâmetros'!$D$14-(L17*'⚙️ Parâmetros'!$E$14))</f>
        <v>0</v>
      </c>
      <c r="U17" s="36" t="n">
        <f aca="false">IFERROR(T17/L17,0)</f>
        <v>0</v>
      </c>
    </row>
    <row r="18" customFormat="false" ht="15" hidden="false" customHeight="false" outlineLevel="0" collapsed="false">
      <c r="B18" s="32"/>
      <c r="C18" s="32"/>
      <c r="D18" s="32"/>
      <c r="E18" s="24"/>
      <c r="F18" s="23"/>
      <c r="G18" s="23"/>
      <c r="H18" s="23"/>
      <c r="I18" s="33" t="n">
        <f aca="false">F18+G18+H18</f>
        <v>0</v>
      </c>
      <c r="J18" s="20"/>
      <c r="K18" s="34" t="n">
        <f aca="false">IFERROR(1/(1-J18-Aliquota_Impostos),0)</f>
        <v>1.06382978723404</v>
      </c>
      <c r="L18" s="23"/>
      <c r="M18" s="33" t="n">
        <f aca="false">IFERROR((I18+'⚙️ Parâmetros'!$D$11)/(1-J18-Aliquota_Impostos-'⚙️ Parâmetros'!$C$11-'⚙️ Parâmetros'!$E$11),0)</f>
        <v>0</v>
      </c>
      <c r="N18" s="35" t="n">
        <f aca="false">IF(L18=0,0,L18-I18-(L18*Aliquota_Impostos)-(L18*'⚙️ Parâmetros'!$C$11)-'⚙️ Parâmetros'!$D$11-(L18*'⚙️ Parâmetros'!$E$11))</f>
        <v>0</v>
      </c>
      <c r="O18" s="36" t="n">
        <f aca="false">IFERROR(N18/L18,0)</f>
        <v>0</v>
      </c>
      <c r="P18" s="33" t="n">
        <f aca="false">IFERROR((I18+'⚙️ Parâmetros'!$D$12)/(1-J18-Aliquota_Impostos-'⚙️ Parâmetros'!$C$12-'⚙️ Parâmetros'!$E$12),0)</f>
        <v>7.40740740740741</v>
      </c>
      <c r="Q18" s="35" t="n">
        <f aca="false">IF(L18=0,0,L18-I18-(L18*Aliquota_Impostos)-(L18*'⚙️ Parâmetros'!$C$12)-'⚙️ Parâmetros'!$D$12-(L18*'⚙️ Parâmetros'!$E$12))</f>
        <v>0</v>
      </c>
      <c r="R18" s="36" t="n">
        <f aca="false">IFERROR(Q18/L18,0)</f>
        <v>0</v>
      </c>
      <c r="S18" s="33" t="n">
        <f aca="false">IFERROR((I18+'⚙️ Parâmetros'!$D$14)/(1-J18-Aliquota_Impostos-'⚙️ Parâmetros'!$C$14-'⚙️ Parâmetros'!$E$14),0)</f>
        <v>5.40540540540541</v>
      </c>
      <c r="T18" s="35" t="n">
        <f aca="false">IF(L18=0,0,L18-I18-(L18*Aliquota_Impostos)-(L18*'⚙️ Parâmetros'!$C$14)-'⚙️ Parâmetros'!$D$14-(L18*'⚙️ Parâmetros'!$E$14))</f>
        <v>0</v>
      </c>
      <c r="U18" s="36" t="n">
        <f aca="false">IFERROR(T18/L18,0)</f>
        <v>0</v>
      </c>
    </row>
    <row r="19" customFormat="false" ht="15" hidden="false" customHeight="false" outlineLevel="0" collapsed="false">
      <c r="B19" s="32"/>
      <c r="C19" s="32"/>
      <c r="D19" s="32"/>
      <c r="E19" s="24"/>
      <c r="F19" s="23"/>
      <c r="G19" s="23"/>
      <c r="H19" s="23"/>
      <c r="I19" s="33" t="n">
        <f aca="false">F19+G19+H19</f>
        <v>0</v>
      </c>
      <c r="J19" s="20"/>
      <c r="K19" s="34" t="n">
        <f aca="false">IFERROR(1/(1-J19-Aliquota_Impostos),0)</f>
        <v>1.06382978723404</v>
      </c>
      <c r="L19" s="23"/>
      <c r="M19" s="33" t="n">
        <f aca="false">IFERROR((I19+'⚙️ Parâmetros'!$D$11)/(1-J19-Aliquota_Impostos-'⚙️ Parâmetros'!$C$11-'⚙️ Parâmetros'!$E$11),0)</f>
        <v>0</v>
      </c>
      <c r="N19" s="35" t="n">
        <f aca="false">IF(L19=0,0,L19-I19-(L19*Aliquota_Impostos)-(L19*'⚙️ Parâmetros'!$C$11)-'⚙️ Parâmetros'!$D$11-(L19*'⚙️ Parâmetros'!$E$11))</f>
        <v>0</v>
      </c>
      <c r="O19" s="36" t="n">
        <f aca="false">IFERROR(N19/L19,0)</f>
        <v>0</v>
      </c>
      <c r="P19" s="33" t="n">
        <f aca="false">IFERROR((I19+'⚙️ Parâmetros'!$D$12)/(1-J19-Aliquota_Impostos-'⚙️ Parâmetros'!$C$12-'⚙️ Parâmetros'!$E$12),0)</f>
        <v>7.40740740740741</v>
      </c>
      <c r="Q19" s="35" t="n">
        <f aca="false">IF(L19=0,0,L19-I19-(L19*Aliquota_Impostos)-(L19*'⚙️ Parâmetros'!$C$12)-'⚙️ Parâmetros'!$D$12-(L19*'⚙️ Parâmetros'!$E$12))</f>
        <v>0</v>
      </c>
      <c r="R19" s="36" t="n">
        <f aca="false">IFERROR(Q19/L19,0)</f>
        <v>0</v>
      </c>
      <c r="S19" s="33" t="n">
        <f aca="false">IFERROR((I19+'⚙️ Parâmetros'!$D$14)/(1-J19-Aliquota_Impostos-'⚙️ Parâmetros'!$C$14-'⚙️ Parâmetros'!$E$14),0)</f>
        <v>5.40540540540541</v>
      </c>
      <c r="T19" s="35" t="n">
        <f aca="false">IF(L19=0,0,L19-I19-(L19*Aliquota_Impostos)-(L19*'⚙️ Parâmetros'!$C$14)-'⚙️ Parâmetros'!$D$14-(L19*'⚙️ Parâmetros'!$E$14))</f>
        <v>0</v>
      </c>
      <c r="U19" s="36" t="n">
        <f aca="false">IFERROR(T19/L19,0)</f>
        <v>0</v>
      </c>
    </row>
    <row r="20" customFormat="false" ht="15" hidden="false" customHeight="false" outlineLevel="0" collapsed="false">
      <c r="B20" s="32"/>
      <c r="C20" s="32"/>
      <c r="D20" s="32"/>
      <c r="E20" s="24"/>
      <c r="F20" s="23"/>
      <c r="G20" s="23"/>
      <c r="H20" s="23"/>
      <c r="I20" s="33" t="n">
        <f aca="false">F20+G20+H20</f>
        <v>0</v>
      </c>
      <c r="J20" s="20"/>
      <c r="K20" s="34" t="n">
        <f aca="false">IFERROR(1/(1-J20-Aliquota_Impostos),0)</f>
        <v>1.06382978723404</v>
      </c>
      <c r="L20" s="23"/>
      <c r="M20" s="33" t="n">
        <f aca="false">IFERROR((I20+'⚙️ Parâmetros'!$D$11)/(1-J20-Aliquota_Impostos-'⚙️ Parâmetros'!$C$11-'⚙️ Parâmetros'!$E$11),0)</f>
        <v>0</v>
      </c>
      <c r="N20" s="35" t="n">
        <f aca="false">IF(L20=0,0,L20-I20-(L20*Aliquota_Impostos)-(L20*'⚙️ Parâmetros'!$C$11)-'⚙️ Parâmetros'!$D$11-(L20*'⚙️ Parâmetros'!$E$11))</f>
        <v>0</v>
      </c>
      <c r="O20" s="36" t="n">
        <f aca="false">IFERROR(N20/L20,0)</f>
        <v>0</v>
      </c>
      <c r="P20" s="33" t="n">
        <f aca="false">IFERROR((I20+'⚙️ Parâmetros'!$D$12)/(1-J20-Aliquota_Impostos-'⚙️ Parâmetros'!$C$12-'⚙️ Parâmetros'!$E$12),0)</f>
        <v>7.40740740740741</v>
      </c>
      <c r="Q20" s="35" t="n">
        <f aca="false">IF(L20=0,0,L20-I20-(L20*Aliquota_Impostos)-(L20*'⚙️ Parâmetros'!$C$12)-'⚙️ Parâmetros'!$D$12-(L20*'⚙️ Parâmetros'!$E$12))</f>
        <v>0</v>
      </c>
      <c r="R20" s="36" t="n">
        <f aca="false">IFERROR(Q20/L20,0)</f>
        <v>0</v>
      </c>
      <c r="S20" s="33" t="n">
        <f aca="false">IFERROR((I20+'⚙️ Parâmetros'!$D$14)/(1-J20-Aliquota_Impostos-'⚙️ Parâmetros'!$C$14-'⚙️ Parâmetros'!$E$14),0)</f>
        <v>5.40540540540541</v>
      </c>
      <c r="T20" s="35" t="n">
        <f aca="false">IF(L20=0,0,L20-I20-(L20*Aliquota_Impostos)-(L20*'⚙️ Parâmetros'!$C$14)-'⚙️ Parâmetros'!$D$14-(L20*'⚙️ Parâmetros'!$E$14))</f>
        <v>0</v>
      </c>
      <c r="U20" s="36" t="n">
        <f aca="false">IFERROR(T20/L20,0)</f>
        <v>0</v>
      </c>
    </row>
    <row r="21" customFormat="false" ht="15" hidden="false" customHeight="false" outlineLevel="0" collapsed="false">
      <c r="B21" s="32"/>
      <c r="C21" s="32"/>
      <c r="D21" s="32"/>
      <c r="E21" s="24"/>
      <c r="F21" s="23"/>
      <c r="G21" s="23"/>
      <c r="H21" s="23"/>
      <c r="I21" s="33" t="n">
        <f aca="false">F21+G21+H21</f>
        <v>0</v>
      </c>
      <c r="J21" s="20"/>
      <c r="K21" s="34" t="n">
        <f aca="false">IFERROR(1/(1-J21-Aliquota_Impostos),0)</f>
        <v>1.06382978723404</v>
      </c>
      <c r="L21" s="23"/>
      <c r="M21" s="33" t="n">
        <f aca="false">IFERROR((I21+'⚙️ Parâmetros'!$D$11)/(1-J21-Aliquota_Impostos-'⚙️ Parâmetros'!$C$11-'⚙️ Parâmetros'!$E$11),0)</f>
        <v>0</v>
      </c>
      <c r="N21" s="35" t="n">
        <f aca="false">IF(L21=0,0,L21-I21-(L21*Aliquota_Impostos)-(L21*'⚙️ Parâmetros'!$C$11)-'⚙️ Parâmetros'!$D$11-(L21*'⚙️ Parâmetros'!$E$11))</f>
        <v>0</v>
      </c>
      <c r="O21" s="36" t="n">
        <f aca="false">IFERROR(N21/L21,0)</f>
        <v>0</v>
      </c>
      <c r="P21" s="33" t="n">
        <f aca="false">IFERROR((I21+'⚙️ Parâmetros'!$D$12)/(1-J21-Aliquota_Impostos-'⚙️ Parâmetros'!$C$12-'⚙️ Parâmetros'!$E$12),0)</f>
        <v>7.40740740740741</v>
      </c>
      <c r="Q21" s="35" t="n">
        <f aca="false">IF(L21=0,0,L21-I21-(L21*Aliquota_Impostos)-(L21*'⚙️ Parâmetros'!$C$12)-'⚙️ Parâmetros'!$D$12-(L21*'⚙️ Parâmetros'!$E$12))</f>
        <v>0</v>
      </c>
      <c r="R21" s="36" t="n">
        <f aca="false">IFERROR(Q21/L21,0)</f>
        <v>0</v>
      </c>
      <c r="S21" s="33" t="n">
        <f aca="false">IFERROR((I21+'⚙️ Parâmetros'!$D$14)/(1-J21-Aliquota_Impostos-'⚙️ Parâmetros'!$C$14-'⚙️ Parâmetros'!$E$14),0)</f>
        <v>5.40540540540541</v>
      </c>
      <c r="T21" s="35" t="n">
        <f aca="false">IF(L21=0,0,L21-I21-(L21*Aliquota_Impostos)-(L21*'⚙️ Parâmetros'!$C$14)-'⚙️ Parâmetros'!$D$14-(L21*'⚙️ Parâmetros'!$E$14))</f>
        <v>0</v>
      </c>
      <c r="U21" s="36" t="n">
        <f aca="false">IFERROR(T21/L21,0)</f>
        <v>0</v>
      </c>
    </row>
    <row r="22" customFormat="false" ht="15" hidden="false" customHeight="false" outlineLevel="0" collapsed="false">
      <c r="B22" s="32"/>
      <c r="C22" s="32"/>
      <c r="D22" s="32"/>
      <c r="E22" s="24"/>
      <c r="F22" s="23"/>
      <c r="G22" s="23"/>
      <c r="H22" s="23"/>
      <c r="I22" s="33" t="n">
        <f aca="false">F22+G22+H22</f>
        <v>0</v>
      </c>
      <c r="J22" s="20"/>
      <c r="K22" s="34" t="n">
        <f aca="false">IFERROR(1/(1-J22-Aliquota_Impostos),0)</f>
        <v>1.06382978723404</v>
      </c>
      <c r="L22" s="23"/>
      <c r="M22" s="33" t="n">
        <f aca="false">IFERROR((I22+'⚙️ Parâmetros'!$D$11)/(1-J22-Aliquota_Impostos-'⚙️ Parâmetros'!$C$11-'⚙️ Parâmetros'!$E$11),0)</f>
        <v>0</v>
      </c>
      <c r="N22" s="35" t="n">
        <f aca="false">IF(L22=0,0,L22-I22-(L22*Aliquota_Impostos)-(L22*'⚙️ Parâmetros'!$C$11)-'⚙️ Parâmetros'!$D$11-(L22*'⚙️ Parâmetros'!$E$11))</f>
        <v>0</v>
      </c>
      <c r="O22" s="36" t="n">
        <f aca="false">IFERROR(N22/L22,0)</f>
        <v>0</v>
      </c>
      <c r="P22" s="33" t="n">
        <f aca="false">IFERROR((I22+'⚙️ Parâmetros'!$D$12)/(1-J22-Aliquota_Impostos-'⚙️ Parâmetros'!$C$12-'⚙️ Parâmetros'!$E$12),0)</f>
        <v>7.40740740740741</v>
      </c>
      <c r="Q22" s="35" t="n">
        <f aca="false">IF(L22=0,0,L22-I22-(L22*Aliquota_Impostos)-(L22*'⚙️ Parâmetros'!$C$12)-'⚙️ Parâmetros'!$D$12-(L22*'⚙️ Parâmetros'!$E$12))</f>
        <v>0</v>
      </c>
      <c r="R22" s="36" t="n">
        <f aca="false">IFERROR(Q22/L22,0)</f>
        <v>0</v>
      </c>
      <c r="S22" s="33" t="n">
        <f aca="false">IFERROR((I22+'⚙️ Parâmetros'!$D$14)/(1-J22-Aliquota_Impostos-'⚙️ Parâmetros'!$C$14-'⚙️ Parâmetros'!$E$14),0)</f>
        <v>5.40540540540541</v>
      </c>
      <c r="T22" s="35" t="n">
        <f aca="false">IF(L22=0,0,L22-I22-(L22*Aliquota_Impostos)-(L22*'⚙️ Parâmetros'!$C$14)-'⚙️ Parâmetros'!$D$14-(L22*'⚙️ Parâmetros'!$E$14))</f>
        <v>0</v>
      </c>
      <c r="U22" s="36" t="n">
        <f aca="false">IFERROR(T22/L22,0)</f>
        <v>0</v>
      </c>
    </row>
    <row r="23" customFormat="false" ht="15" hidden="false" customHeight="false" outlineLevel="0" collapsed="false">
      <c r="B23" s="32"/>
      <c r="C23" s="32"/>
      <c r="D23" s="32"/>
      <c r="E23" s="24"/>
      <c r="F23" s="23"/>
      <c r="G23" s="23"/>
      <c r="H23" s="23"/>
      <c r="I23" s="33" t="n">
        <f aca="false">F23+G23+H23</f>
        <v>0</v>
      </c>
      <c r="J23" s="20"/>
      <c r="K23" s="34" t="n">
        <f aca="false">IFERROR(1/(1-J23-Aliquota_Impostos),0)</f>
        <v>1.06382978723404</v>
      </c>
      <c r="L23" s="23"/>
      <c r="M23" s="33" t="n">
        <f aca="false">IFERROR((I23+'⚙️ Parâmetros'!$D$11)/(1-J23-Aliquota_Impostos-'⚙️ Parâmetros'!$C$11-'⚙️ Parâmetros'!$E$11),0)</f>
        <v>0</v>
      </c>
      <c r="N23" s="35" t="n">
        <f aca="false">IF(L23=0,0,L23-I23-(L23*Aliquota_Impostos)-(L23*'⚙️ Parâmetros'!$C$11)-'⚙️ Parâmetros'!$D$11-(L23*'⚙️ Parâmetros'!$E$11))</f>
        <v>0</v>
      </c>
      <c r="O23" s="36" t="n">
        <f aca="false">IFERROR(N23/L23,0)</f>
        <v>0</v>
      </c>
      <c r="P23" s="33" t="n">
        <f aca="false">IFERROR((I23+'⚙️ Parâmetros'!$D$12)/(1-J23-Aliquota_Impostos-'⚙️ Parâmetros'!$C$12-'⚙️ Parâmetros'!$E$12),0)</f>
        <v>7.40740740740741</v>
      </c>
      <c r="Q23" s="35" t="n">
        <f aca="false">IF(L23=0,0,L23-I23-(L23*Aliquota_Impostos)-(L23*'⚙️ Parâmetros'!$C$12)-'⚙️ Parâmetros'!$D$12-(L23*'⚙️ Parâmetros'!$E$12))</f>
        <v>0</v>
      </c>
      <c r="R23" s="36" t="n">
        <f aca="false">IFERROR(Q23/L23,0)</f>
        <v>0</v>
      </c>
      <c r="S23" s="33" t="n">
        <f aca="false">IFERROR((I23+'⚙️ Parâmetros'!$D$14)/(1-J23-Aliquota_Impostos-'⚙️ Parâmetros'!$C$14-'⚙️ Parâmetros'!$E$14),0)</f>
        <v>5.40540540540541</v>
      </c>
      <c r="T23" s="35" t="n">
        <f aca="false">IF(L23=0,0,L23-I23-(L23*Aliquota_Impostos)-(L23*'⚙️ Parâmetros'!$C$14)-'⚙️ Parâmetros'!$D$14-(L23*'⚙️ Parâmetros'!$E$14))</f>
        <v>0</v>
      </c>
      <c r="U23" s="36" t="n">
        <f aca="false">IFERROR(T23/L23,0)</f>
        <v>0</v>
      </c>
    </row>
    <row r="24" customFormat="false" ht="15" hidden="false" customHeight="false" outlineLevel="0" collapsed="false">
      <c r="B24" s="32"/>
      <c r="C24" s="32"/>
      <c r="D24" s="32"/>
      <c r="E24" s="24"/>
      <c r="F24" s="23"/>
      <c r="G24" s="23"/>
      <c r="H24" s="23"/>
      <c r="I24" s="33" t="n">
        <f aca="false">F24+G24+H24</f>
        <v>0</v>
      </c>
      <c r="J24" s="20"/>
      <c r="K24" s="34" t="n">
        <f aca="false">IFERROR(1/(1-J24-Aliquota_Impostos),0)</f>
        <v>1.06382978723404</v>
      </c>
      <c r="L24" s="23"/>
      <c r="M24" s="33" t="n">
        <f aca="false">IFERROR((I24+'⚙️ Parâmetros'!$D$11)/(1-J24-Aliquota_Impostos-'⚙️ Parâmetros'!$C$11-'⚙️ Parâmetros'!$E$11),0)</f>
        <v>0</v>
      </c>
      <c r="N24" s="35" t="n">
        <f aca="false">IF(L24=0,0,L24-I24-(L24*Aliquota_Impostos)-(L24*'⚙️ Parâmetros'!$C$11)-'⚙️ Parâmetros'!$D$11-(L24*'⚙️ Parâmetros'!$E$11))</f>
        <v>0</v>
      </c>
      <c r="O24" s="36" t="n">
        <f aca="false">IFERROR(N24/L24,0)</f>
        <v>0</v>
      </c>
      <c r="P24" s="33" t="n">
        <f aca="false">IFERROR((I24+'⚙️ Parâmetros'!$D$12)/(1-J24-Aliquota_Impostos-'⚙️ Parâmetros'!$C$12-'⚙️ Parâmetros'!$E$12),0)</f>
        <v>7.40740740740741</v>
      </c>
      <c r="Q24" s="35" t="n">
        <f aca="false">IF(L24=0,0,L24-I24-(L24*Aliquota_Impostos)-(L24*'⚙️ Parâmetros'!$C$12)-'⚙️ Parâmetros'!$D$12-(L24*'⚙️ Parâmetros'!$E$12))</f>
        <v>0</v>
      </c>
      <c r="R24" s="36" t="n">
        <f aca="false">IFERROR(Q24/L24,0)</f>
        <v>0</v>
      </c>
      <c r="S24" s="33" t="n">
        <f aca="false">IFERROR((I24+'⚙️ Parâmetros'!$D$14)/(1-J24-Aliquota_Impostos-'⚙️ Parâmetros'!$C$14-'⚙️ Parâmetros'!$E$14),0)</f>
        <v>5.40540540540541</v>
      </c>
      <c r="T24" s="35" t="n">
        <f aca="false">IF(L24=0,0,L24-I24-(L24*Aliquota_Impostos)-(L24*'⚙️ Parâmetros'!$C$14)-'⚙️ Parâmetros'!$D$14-(L24*'⚙️ Parâmetros'!$E$14))</f>
        <v>0</v>
      </c>
      <c r="U24" s="36" t="n">
        <f aca="false">IFERROR(T24/L24,0)</f>
        <v>0</v>
      </c>
    </row>
    <row r="25" customFormat="false" ht="15" hidden="false" customHeight="false" outlineLevel="0" collapsed="false">
      <c r="B25" s="32"/>
      <c r="C25" s="32"/>
      <c r="D25" s="32"/>
      <c r="E25" s="24"/>
      <c r="F25" s="23"/>
      <c r="G25" s="23"/>
      <c r="H25" s="23"/>
      <c r="I25" s="33" t="n">
        <f aca="false">F25+G25+H25</f>
        <v>0</v>
      </c>
      <c r="J25" s="20"/>
      <c r="K25" s="34" t="n">
        <f aca="false">IFERROR(1/(1-J25-Aliquota_Impostos),0)</f>
        <v>1.06382978723404</v>
      </c>
      <c r="L25" s="23"/>
      <c r="M25" s="33" t="n">
        <f aca="false">IFERROR((I25+'⚙️ Parâmetros'!$D$11)/(1-J25-Aliquota_Impostos-'⚙️ Parâmetros'!$C$11-'⚙️ Parâmetros'!$E$11),0)</f>
        <v>0</v>
      </c>
      <c r="N25" s="35" t="n">
        <f aca="false">IF(L25=0,0,L25-I25-(L25*Aliquota_Impostos)-(L25*'⚙️ Parâmetros'!$C$11)-'⚙️ Parâmetros'!$D$11-(L25*'⚙️ Parâmetros'!$E$11))</f>
        <v>0</v>
      </c>
      <c r="O25" s="36" t="n">
        <f aca="false">IFERROR(N25/L25,0)</f>
        <v>0</v>
      </c>
      <c r="P25" s="33" t="n">
        <f aca="false">IFERROR((I25+'⚙️ Parâmetros'!$D$12)/(1-J25-Aliquota_Impostos-'⚙️ Parâmetros'!$C$12-'⚙️ Parâmetros'!$E$12),0)</f>
        <v>7.40740740740741</v>
      </c>
      <c r="Q25" s="35" t="n">
        <f aca="false">IF(L25=0,0,L25-I25-(L25*Aliquota_Impostos)-(L25*'⚙️ Parâmetros'!$C$12)-'⚙️ Parâmetros'!$D$12-(L25*'⚙️ Parâmetros'!$E$12))</f>
        <v>0</v>
      </c>
      <c r="R25" s="36" t="n">
        <f aca="false">IFERROR(Q25/L25,0)</f>
        <v>0</v>
      </c>
      <c r="S25" s="33" t="n">
        <f aca="false">IFERROR((I25+'⚙️ Parâmetros'!$D$14)/(1-J25-Aliquota_Impostos-'⚙️ Parâmetros'!$C$14-'⚙️ Parâmetros'!$E$14),0)</f>
        <v>5.40540540540541</v>
      </c>
      <c r="T25" s="35" t="n">
        <f aca="false">IF(L25=0,0,L25-I25-(L25*Aliquota_Impostos)-(L25*'⚙️ Parâmetros'!$C$14)-'⚙️ Parâmetros'!$D$14-(L25*'⚙️ Parâmetros'!$E$14))</f>
        <v>0</v>
      </c>
      <c r="U25" s="36" t="n">
        <f aca="false">IFERROR(T25/L25,0)</f>
        <v>0</v>
      </c>
    </row>
    <row r="26" customFormat="false" ht="15" hidden="false" customHeight="false" outlineLevel="0" collapsed="false">
      <c r="B26" s="32"/>
      <c r="C26" s="32"/>
      <c r="D26" s="32"/>
      <c r="E26" s="24"/>
      <c r="F26" s="23"/>
      <c r="G26" s="23"/>
      <c r="H26" s="23"/>
      <c r="I26" s="33" t="n">
        <f aca="false">F26+G26+H26</f>
        <v>0</v>
      </c>
      <c r="J26" s="20"/>
      <c r="K26" s="34" t="n">
        <f aca="false">IFERROR(1/(1-J26-Aliquota_Impostos),0)</f>
        <v>1.06382978723404</v>
      </c>
      <c r="L26" s="23"/>
      <c r="M26" s="33" t="n">
        <f aca="false">IFERROR((I26+'⚙️ Parâmetros'!$D$11)/(1-J26-Aliquota_Impostos-'⚙️ Parâmetros'!$C$11-'⚙️ Parâmetros'!$E$11),0)</f>
        <v>0</v>
      </c>
      <c r="N26" s="35" t="n">
        <f aca="false">IF(L26=0,0,L26-I26-(L26*Aliquota_Impostos)-(L26*'⚙️ Parâmetros'!$C$11)-'⚙️ Parâmetros'!$D$11-(L26*'⚙️ Parâmetros'!$E$11))</f>
        <v>0</v>
      </c>
      <c r="O26" s="36" t="n">
        <f aca="false">IFERROR(N26/L26,0)</f>
        <v>0</v>
      </c>
      <c r="P26" s="33" t="n">
        <f aca="false">IFERROR((I26+'⚙️ Parâmetros'!$D$12)/(1-J26-Aliquota_Impostos-'⚙️ Parâmetros'!$C$12-'⚙️ Parâmetros'!$E$12),0)</f>
        <v>7.40740740740741</v>
      </c>
      <c r="Q26" s="35" t="n">
        <f aca="false">IF(L26=0,0,L26-I26-(L26*Aliquota_Impostos)-(L26*'⚙️ Parâmetros'!$C$12)-'⚙️ Parâmetros'!$D$12-(L26*'⚙️ Parâmetros'!$E$12))</f>
        <v>0</v>
      </c>
      <c r="R26" s="36" t="n">
        <f aca="false">IFERROR(Q26/L26,0)</f>
        <v>0</v>
      </c>
      <c r="S26" s="33" t="n">
        <f aca="false">IFERROR((I26+'⚙️ Parâmetros'!$D$14)/(1-J26-Aliquota_Impostos-'⚙️ Parâmetros'!$C$14-'⚙️ Parâmetros'!$E$14),0)</f>
        <v>5.40540540540541</v>
      </c>
      <c r="T26" s="35" t="n">
        <f aca="false">IF(L26=0,0,L26-I26-(L26*Aliquota_Impostos)-(L26*'⚙️ Parâmetros'!$C$14)-'⚙️ Parâmetros'!$D$14-(L26*'⚙️ Parâmetros'!$E$14))</f>
        <v>0</v>
      </c>
      <c r="U26" s="36" t="n">
        <f aca="false">IFERROR(T26/L26,0)</f>
        <v>0</v>
      </c>
    </row>
    <row r="28" customFormat="false" ht="30" hidden="false" customHeight="true" outlineLevel="0" collapsed="false">
      <c r="B28" s="37" t="s">
        <v>149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</sheetData>
  <mergeCells count="9">
    <mergeCell ref="B2:T2"/>
    <mergeCell ref="B3:T3"/>
    <mergeCell ref="B5:E5"/>
    <mergeCell ref="F5:I5"/>
    <mergeCell ref="J5:L5"/>
    <mergeCell ref="M5:O5"/>
    <mergeCell ref="P5:R5"/>
    <mergeCell ref="S5:U5"/>
    <mergeCell ref="B28:U28"/>
  </mergeCells>
  <conditionalFormatting sqref="O7:O26">
    <cfRule type="cellIs" priority="2" operator="lessThan" aboveAverage="0" equalAverage="0" bottom="0" percent="0" rank="0" text="" dxfId="0">
      <formula>0</formula>
    </cfRule>
    <cfRule type="cellIs" priority="3" operator="greaterThanOrEqual" aboveAverage="0" equalAverage="0" bottom="0" percent="0" rank="0" text="" dxfId="1">
      <formula>0.2</formula>
    </cfRule>
  </conditionalFormatting>
  <conditionalFormatting sqref="R7:R26">
    <cfRule type="cellIs" priority="4" operator="lessThan" aboveAverage="0" equalAverage="0" bottom="0" percent="0" rank="0" text="" dxfId="0">
      <formula>0</formula>
    </cfRule>
    <cfRule type="cellIs" priority="5" operator="greaterThanOrEqual" aboveAverage="0" equalAverage="0" bottom="0" percent="0" rank="0" text="" dxfId="1">
      <formula>0.2</formula>
    </cfRule>
  </conditionalFormatting>
  <conditionalFormatting sqref="U7:U26">
    <cfRule type="cellIs" priority="6" operator="lessThan" aboveAverage="0" equalAverage="0" bottom="0" percent="0" rank="0" text="" dxfId="0">
      <formula>0</formula>
    </cfRule>
    <cfRule type="cellIs" priority="7" operator="greaterThanOrEqual" aboveAverage="0" equalAverage="0" bottom="0" percent="0" rank="0" text="" dxfId="1">
      <formula>0.2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38"/>
    <col collapsed="false" customWidth="true" hidden="false" outlineLevel="0" max="4" min="4" style="0" width="11"/>
    <col collapsed="false" customWidth="true" hidden="false" outlineLevel="0" max="5" min="5" style="0" width="26"/>
    <col collapsed="false" customWidth="true" hidden="false" outlineLevel="0" max="6" min="6" style="0" width="28"/>
    <col collapsed="false" customWidth="true" hidden="false" outlineLevel="0" max="7" min="7" style="0" width="16"/>
    <col collapsed="false" customWidth="true" hidden="false" outlineLevel="0" max="11" min="8" style="0" width="14"/>
  </cols>
  <sheetData>
    <row r="2" customFormat="false" ht="22.05" hidden="false" customHeight="false" outlineLevel="0" collapsed="false">
      <c r="B2" s="38" t="s">
        <v>150</v>
      </c>
      <c r="C2" s="38"/>
      <c r="D2" s="38"/>
      <c r="E2" s="38"/>
      <c r="F2" s="38"/>
      <c r="G2" s="38"/>
      <c r="H2" s="38"/>
      <c r="I2" s="38"/>
      <c r="J2" s="38"/>
      <c r="K2" s="38"/>
    </row>
    <row r="3" customFormat="false" ht="15" hidden="false" customHeight="false" outlineLevel="0" collapsed="false">
      <c r="B3" s="39" t="s">
        <v>151</v>
      </c>
      <c r="C3" s="39"/>
      <c r="D3" s="39"/>
      <c r="E3" s="39"/>
      <c r="F3" s="39"/>
      <c r="G3" s="39"/>
      <c r="H3" s="39"/>
      <c r="I3" s="39"/>
      <c r="J3" s="39"/>
      <c r="K3" s="39"/>
    </row>
    <row r="5" customFormat="false" ht="26.85" hidden="false" customHeight="false" outlineLevel="0" collapsed="false">
      <c r="B5" s="40" t="s">
        <v>152</v>
      </c>
      <c r="C5" s="23" t="n">
        <v>50000</v>
      </c>
      <c r="E5" s="40" t="s">
        <v>153</v>
      </c>
      <c r="F5" s="41" t="n">
        <f aca="false">C5+SUMIF(D8:D207,"Entrada",I8:I207)-SUMIF(D8:D207,"Saída",I8:I207)</f>
        <v>57768</v>
      </c>
      <c r="H5" s="42" t="s">
        <v>154</v>
      </c>
      <c r="I5" s="43" t="n">
        <f aca="false">SUMIF(D8:D207,"Entrada",I8:I207)</f>
        <v>18420</v>
      </c>
      <c r="J5" s="44" t="s">
        <v>155</v>
      </c>
      <c r="K5" s="45" t="n">
        <f aca="false">SUMIF(D8:D207,"Saída",I8:I207)</f>
        <v>10652</v>
      </c>
    </row>
    <row r="7" customFormat="false" ht="30" hidden="false" customHeight="true" outlineLevel="0" collapsed="false">
      <c r="B7" s="21" t="s">
        <v>156</v>
      </c>
      <c r="C7" s="21" t="s">
        <v>61</v>
      </c>
      <c r="D7" s="21" t="s">
        <v>58</v>
      </c>
      <c r="E7" s="21" t="s">
        <v>59</v>
      </c>
      <c r="F7" s="21" t="s">
        <v>60</v>
      </c>
      <c r="G7" s="21" t="s">
        <v>157</v>
      </c>
      <c r="H7" s="21" t="s">
        <v>158</v>
      </c>
      <c r="I7" s="21" t="s">
        <v>159</v>
      </c>
      <c r="J7" s="21" t="s">
        <v>160</v>
      </c>
      <c r="K7" s="21" t="s">
        <v>161</v>
      </c>
    </row>
    <row r="8" customFormat="false" ht="15" hidden="false" customHeight="false" outlineLevel="0" collapsed="false">
      <c r="B8" s="46" t="s">
        <v>162</v>
      </c>
      <c r="C8" s="32" t="s">
        <v>163</v>
      </c>
      <c r="D8" s="32" t="s">
        <v>62</v>
      </c>
      <c r="E8" s="32" t="s">
        <v>63</v>
      </c>
      <c r="F8" s="32" t="s">
        <v>64</v>
      </c>
      <c r="G8" s="32" t="s">
        <v>43</v>
      </c>
      <c r="H8" s="32" t="s">
        <v>164</v>
      </c>
      <c r="I8" s="23" t="n">
        <v>4280</v>
      </c>
      <c r="J8" s="33" t="n">
        <f aca="false">IF(B8="","",$C$5+IF(D8="Entrada",I8,IF(D8="Saída",-I8,0)))</f>
        <v>54280</v>
      </c>
    </row>
    <row r="9" customFormat="false" ht="15" hidden="false" customHeight="false" outlineLevel="0" collapsed="false">
      <c r="B9" s="46" t="s">
        <v>165</v>
      </c>
      <c r="C9" s="32" t="s">
        <v>166</v>
      </c>
      <c r="D9" s="32" t="s">
        <v>62</v>
      </c>
      <c r="E9" s="32" t="s">
        <v>63</v>
      </c>
      <c r="F9" s="32" t="s">
        <v>66</v>
      </c>
      <c r="G9" s="32" t="s">
        <v>167</v>
      </c>
      <c r="H9" s="32" t="s">
        <v>168</v>
      </c>
      <c r="I9" s="23" t="n">
        <v>2890</v>
      </c>
      <c r="J9" s="33" t="n">
        <f aca="false">IF(B9="","",J8+IF(D9="Entrada",I9,IF(D9="Saída",-I9,0)))</f>
        <v>57170</v>
      </c>
    </row>
    <row r="10" customFormat="false" ht="15" hidden="false" customHeight="false" outlineLevel="0" collapsed="false">
      <c r="B10" s="46" t="s">
        <v>169</v>
      </c>
      <c r="C10" s="32" t="s">
        <v>170</v>
      </c>
      <c r="D10" s="32" t="s">
        <v>75</v>
      </c>
      <c r="E10" s="32" t="s">
        <v>76</v>
      </c>
      <c r="F10" s="32" t="s">
        <v>77</v>
      </c>
      <c r="G10" s="32" t="s">
        <v>171</v>
      </c>
      <c r="H10" s="32" t="s">
        <v>172</v>
      </c>
      <c r="I10" s="23" t="n">
        <v>3500</v>
      </c>
      <c r="J10" s="33" t="n">
        <f aca="false">IF(B10="","",J9+IF(D10="Entrada",I10,IF(D10="Saída",-I10,0)))</f>
        <v>53670</v>
      </c>
    </row>
    <row r="11" customFormat="false" ht="15" hidden="false" customHeight="false" outlineLevel="0" collapsed="false">
      <c r="B11" s="46" t="s">
        <v>169</v>
      </c>
      <c r="C11" s="32" t="s">
        <v>173</v>
      </c>
      <c r="D11" s="32" t="s">
        <v>75</v>
      </c>
      <c r="E11" s="32" t="s">
        <v>76</v>
      </c>
      <c r="F11" s="32" t="s">
        <v>79</v>
      </c>
      <c r="G11" s="32" t="s">
        <v>171</v>
      </c>
      <c r="H11" s="32" t="s">
        <v>174</v>
      </c>
      <c r="I11" s="23" t="n">
        <v>420</v>
      </c>
      <c r="J11" s="33" t="n">
        <f aca="false">IF(B11="","",J10+IF(D11="Entrada",I11,IF(D11="Saída",-I11,0)))</f>
        <v>53250</v>
      </c>
    </row>
    <row r="12" customFormat="false" ht="15" hidden="false" customHeight="false" outlineLevel="0" collapsed="false">
      <c r="B12" s="46" t="s">
        <v>175</v>
      </c>
      <c r="C12" s="32" t="s">
        <v>176</v>
      </c>
      <c r="D12" s="32" t="s">
        <v>75</v>
      </c>
      <c r="E12" s="32" t="s">
        <v>81</v>
      </c>
      <c r="F12" s="32" t="s">
        <v>82</v>
      </c>
      <c r="G12" s="32" t="s">
        <v>43</v>
      </c>
      <c r="H12" s="32" t="s">
        <v>177</v>
      </c>
      <c r="I12" s="23" t="n">
        <v>890</v>
      </c>
      <c r="J12" s="33" t="n">
        <f aca="false">IF(B12="","",J11+IF(D12="Entrada",I12,IF(D12="Saída",-I12,0)))</f>
        <v>52360</v>
      </c>
    </row>
    <row r="13" customFormat="false" ht="15" hidden="false" customHeight="false" outlineLevel="0" collapsed="false">
      <c r="B13" s="46" t="s">
        <v>178</v>
      </c>
      <c r="C13" s="32" t="s">
        <v>179</v>
      </c>
      <c r="D13" s="32" t="s">
        <v>62</v>
      </c>
      <c r="E13" s="32" t="s">
        <v>63</v>
      </c>
      <c r="F13" s="32" t="s">
        <v>68</v>
      </c>
      <c r="G13" s="32" t="s">
        <v>49</v>
      </c>
      <c r="H13" s="32" t="s">
        <v>168</v>
      </c>
      <c r="I13" s="23" t="n">
        <v>1650</v>
      </c>
      <c r="J13" s="33" t="n">
        <f aca="false">IF(B13="","",J12+IF(D13="Entrada",I13,IF(D13="Saída",-I13,0)))</f>
        <v>54010</v>
      </c>
    </row>
    <row r="14" customFormat="false" ht="15" hidden="false" customHeight="false" outlineLevel="0" collapsed="false">
      <c r="B14" s="46" t="s">
        <v>180</v>
      </c>
      <c r="C14" s="32" t="s">
        <v>181</v>
      </c>
      <c r="D14" s="32" t="s">
        <v>75</v>
      </c>
      <c r="E14" s="32" t="s">
        <v>91</v>
      </c>
      <c r="F14" s="32" t="s">
        <v>92</v>
      </c>
      <c r="G14" s="32" t="s">
        <v>171</v>
      </c>
      <c r="H14" s="32" t="s">
        <v>174</v>
      </c>
      <c r="I14" s="23" t="n">
        <v>800</v>
      </c>
      <c r="J14" s="33" t="n">
        <f aca="false">IF(B14="","",J13+IF(D14="Entrada",I14,IF(D14="Saída",-I14,0)))</f>
        <v>53210</v>
      </c>
    </row>
    <row r="15" customFormat="false" ht="15" hidden="false" customHeight="false" outlineLevel="0" collapsed="false">
      <c r="B15" s="46" t="s">
        <v>182</v>
      </c>
      <c r="C15" s="32" t="s">
        <v>183</v>
      </c>
      <c r="D15" s="32" t="s">
        <v>75</v>
      </c>
      <c r="E15" s="32" t="s">
        <v>88</v>
      </c>
      <c r="F15" s="32" t="s">
        <v>89</v>
      </c>
      <c r="G15" s="32" t="s">
        <v>171</v>
      </c>
      <c r="H15" s="32" t="s">
        <v>184</v>
      </c>
      <c r="I15" s="23" t="n">
        <v>720</v>
      </c>
      <c r="J15" s="33" t="n">
        <f aca="false">IF(B15="","",J14+IF(D15="Entrada",I15,IF(D15="Saída",-I15,0)))</f>
        <v>52490</v>
      </c>
    </row>
    <row r="16" customFormat="false" ht="15" hidden="false" customHeight="false" outlineLevel="0" collapsed="false">
      <c r="B16" s="46" t="s">
        <v>185</v>
      </c>
      <c r="C16" s="32" t="s">
        <v>186</v>
      </c>
      <c r="D16" s="32" t="s">
        <v>75</v>
      </c>
      <c r="E16" s="32" t="s">
        <v>91</v>
      </c>
      <c r="F16" s="32" t="s">
        <v>100</v>
      </c>
      <c r="G16" s="32" t="s">
        <v>171</v>
      </c>
      <c r="H16" s="32" t="s">
        <v>164</v>
      </c>
      <c r="I16" s="23" t="n">
        <v>580</v>
      </c>
      <c r="J16" s="33" t="n">
        <f aca="false">IF(B16="","",J15+IF(D16="Entrada",I16,IF(D16="Saída",-I16,0)))</f>
        <v>51910</v>
      </c>
    </row>
    <row r="17" customFormat="false" ht="15" hidden="false" customHeight="false" outlineLevel="0" collapsed="false">
      <c r="B17" s="46" t="s">
        <v>187</v>
      </c>
      <c r="C17" s="32" t="s">
        <v>188</v>
      </c>
      <c r="D17" s="32" t="s">
        <v>75</v>
      </c>
      <c r="E17" s="32" t="s">
        <v>91</v>
      </c>
      <c r="F17" s="32" t="s">
        <v>94</v>
      </c>
      <c r="G17" s="32" t="s">
        <v>171</v>
      </c>
      <c r="H17" s="32" t="s">
        <v>174</v>
      </c>
      <c r="I17" s="23" t="n">
        <v>197</v>
      </c>
      <c r="J17" s="33" t="n">
        <f aca="false">IF(B17="","",J16+IF(D17="Entrada",I17,IF(D17="Saída",-I17,0)))</f>
        <v>51713</v>
      </c>
    </row>
    <row r="18" customFormat="false" ht="15" hidden="false" customHeight="false" outlineLevel="0" collapsed="false">
      <c r="B18" s="46" t="s">
        <v>189</v>
      </c>
      <c r="C18" s="32" t="s">
        <v>190</v>
      </c>
      <c r="D18" s="32" t="s">
        <v>75</v>
      </c>
      <c r="E18" s="32" t="s">
        <v>91</v>
      </c>
      <c r="F18" s="32" t="s">
        <v>96</v>
      </c>
      <c r="G18" s="32" t="s">
        <v>171</v>
      </c>
      <c r="H18" s="32" t="s">
        <v>164</v>
      </c>
      <c r="I18" s="23" t="n">
        <v>3500</v>
      </c>
      <c r="J18" s="33" t="n">
        <f aca="false">IF(B18="","",J17+IF(D18="Entrada",I18,IF(D18="Saída",-I18,0)))</f>
        <v>48213</v>
      </c>
    </row>
    <row r="19" customFormat="false" ht="15" hidden="false" customHeight="false" outlineLevel="0" collapsed="false">
      <c r="B19" s="46" t="s">
        <v>191</v>
      </c>
      <c r="C19" s="32" t="s">
        <v>192</v>
      </c>
      <c r="D19" s="32" t="s">
        <v>75</v>
      </c>
      <c r="E19" s="32" t="s">
        <v>104</v>
      </c>
      <c r="F19" s="32" t="s">
        <v>105</v>
      </c>
      <c r="G19" s="32" t="s">
        <v>171</v>
      </c>
      <c r="H19" s="32" t="s">
        <v>177</v>
      </c>
      <c r="I19" s="23" t="n">
        <v>45</v>
      </c>
      <c r="J19" s="33" t="n">
        <f aca="false">IF(B19="","",J18+IF(D19="Entrada",I19,IF(D19="Saída",-I19,0)))</f>
        <v>48168</v>
      </c>
    </row>
    <row r="20" customFormat="false" ht="15" hidden="false" customHeight="false" outlineLevel="0" collapsed="false">
      <c r="B20" s="46" t="s">
        <v>193</v>
      </c>
      <c r="C20" s="32" t="s">
        <v>194</v>
      </c>
      <c r="D20" s="32" t="s">
        <v>62</v>
      </c>
      <c r="E20" s="32" t="s">
        <v>63</v>
      </c>
      <c r="F20" s="32" t="s">
        <v>64</v>
      </c>
      <c r="G20" s="32" t="s">
        <v>43</v>
      </c>
      <c r="H20" s="32" t="s">
        <v>164</v>
      </c>
      <c r="I20" s="23" t="n">
        <v>6180</v>
      </c>
      <c r="J20" s="33" t="n">
        <f aca="false">IF(B20="","",J19+IF(D20="Entrada",I20,IF(D20="Saída",-I20,0)))</f>
        <v>54348</v>
      </c>
    </row>
    <row r="21" customFormat="false" ht="15" hidden="false" customHeight="false" outlineLevel="0" collapsed="false">
      <c r="B21" s="46" t="s">
        <v>195</v>
      </c>
      <c r="C21" s="32" t="s">
        <v>196</v>
      </c>
      <c r="D21" s="32" t="s">
        <v>62</v>
      </c>
      <c r="E21" s="32" t="s">
        <v>63</v>
      </c>
      <c r="F21" s="32" t="s">
        <v>66</v>
      </c>
      <c r="G21" s="32" t="s">
        <v>167</v>
      </c>
      <c r="H21" s="32" t="s">
        <v>168</v>
      </c>
      <c r="I21" s="23" t="n">
        <v>3420</v>
      </c>
      <c r="J21" s="33" t="n">
        <f aca="false">IF(B21="","",J20+IF(D21="Entrada",I21,IF(D21="Saída",-I21,0)))</f>
        <v>57768</v>
      </c>
    </row>
    <row r="22" customFormat="false" ht="15" hidden="false" customHeight="false" outlineLevel="0" collapsed="false">
      <c r="B22" s="46"/>
      <c r="C22" s="32"/>
      <c r="D22" s="32"/>
      <c r="E22" s="32"/>
      <c r="F22" s="32"/>
      <c r="G22" s="32"/>
      <c r="H22" s="32"/>
      <c r="I22" s="23"/>
      <c r="J22" s="33" t="str">
        <f aca="false">IF(B22="","",J21+IF(D22="Entrada",I22,IF(D22="Saída",-I22,0)))</f>
        <v/>
      </c>
    </row>
    <row r="23" customFormat="false" ht="15" hidden="false" customHeight="false" outlineLevel="0" collapsed="false">
      <c r="B23" s="46"/>
      <c r="C23" s="32"/>
      <c r="D23" s="32"/>
      <c r="E23" s="32"/>
      <c r="F23" s="32"/>
      <c r="G23" s="32"/>
      <c r="H23" s="32"/>
      <c r="I23" s="23"/>
      <c r="J23" s="33" t="str">
        <f aca="false">IF(B23="","",J22+IF(D23="Entrada",I23,IF(D23="Saída",-I23,0)))</f>
        <v/>
      </c>
    </row>
    <row r="24" customFormat="false" ht="15" hidden="false" customHeight="false" outlineLevel="0" collapsed="false">
      <c r="B24" s="46"/>
      <c r="C24" s="32"/>
      <c r="D24" s="32"/>
      <c r="E24" s="32"/>
      <c r="F24" s="32"/>
      <c r="G24" s="32"/>
      <c r="H24" s="32"/>
      <c r="I24" s="23"/>
      <c r="J24" s="33" t="str">
        <f aca="false">IF(B24="","",J23+IF(D24="Entrada",I24,IF(D24="Saída",-I24,0)))</f>
        <v/>
      </c>
    </row>
    <row r="25" customFormat="false" ht="15" hidden="false" customHeight="false" outlineLevel="0" collapsed="false">
      <c r="B25" s="46"/>
      <c r="C25" s="32"/>
      <c r="D25" s="32"/>
      <c r="E25" s="32"/>
      <c r="F25" s="32"/>
      <c r="G25" s="32"/>
      <c r="H25" s="32"/>
      <c r="I25" s="23"/>
      <c r="J25" s="33" t="str">
        <f aca="false">IF(B25="","",J24+IF(D25="Entrada",I25,IF(D25="Saída",-I25,0)))</f>
        <v/>
      </c>
    </row>
    <row r="26" customFormat="false" ht="15" hidden="false" customHeight="false" outlineLevel="0" collapsed="false">
      <c r="B26" s="46"/>
      <c r="C26" s="32"/>
      <c r="D26" s="32"/>
      <c r="E26" s="32"/>
      <c r="F26" s="32"/>
      <c r="G26" s="32"/>
      <c r="H26" s="32"/>
      <c r="I26" s="23"/>
      <c r="J26" s="33" t="str">
        <f aca="false">IF(B26="","",J25+IF(D26="Entrada",I26,IF(D26="Saída",-I26,0)))</f>
        <v/>
      </c>
    </row>
    <row r="27" customFormat="false" ht="15" hidden="false" customHeight="false" outlineLevel="0" collapsed="false">
      <c r="B27" s="46"/>
      <c r="C27" s="32"/>
      <c r="D27" s="32"/>
      <c r="E27" s="32"/>
      <c r="F27" s="32"/>
      <c r="G27" s="32"/>
      <c r="H27" s="32"/>
      <c r="I27" s="23"/>
      <c r="J27" s="33" t="str">
        <f aca="false">IF(B27="","",J26+IF(D27="Entrada",I27,IF(D27="Saída",-I27,0)))</f>
        <v/>
      </c>
    </row>
    <row r="28" customFormat="false" ht="15" hidden="false" customHeight="false" outlineLevel="0" collapsed="false">
      <c r="B28" s="46"/>
      <c r="C28" s="32"/>
      <c r="D28" s="32"/>
      <c r="E28" s="32"/>
      <c r="F28" s="32"/>
      <c r="G28" s="32"/>
      <c r="H28" s="32"/>
      <c r="I28" s="23"/>
      <c r="J28" s="33" t="str">
        <f aca="false">IF(B28="","",J27+IF(D28="Entrada",I28,IF(D28="Saída",-I28,0)))</f>
        <v/>
      </c>
    </row>
    <row r="29" customFormat="false" ht="15" hidden="false" customHeight="false" outlineLevel="0" collapsed="false">
      <c r="B29" s="46"/>
      <c r="C29" s="32"/>
      <c r="D29" s="32"/>
      <c r="E29" s="32"/>
      <c r="F29" s="32"/>
      <c r="G29" s="32"/>
      <c r="H29" s="32"/>
      <c r="I29" s="23"/>
      <c r="J29" s="33" t="str">
        <f aca="false">IF(B29="","",J28+IF(D29="Entrada",I29,IF(D29="Saída",-I29,0)))</f>
        <v/>
      </c>
    </row>
    <row r="30" customFormat="false" ht="15" hidden="false" customHeight="false" outlineLevel="0" collapsed="false">
      <c r="B30" s="46"/>
      <c r="C30" s="32"/>
      <c r="D30" s="32"/>
      <c r="E30" s="32"/>
      <c r="F30" s="32"/>
      <c r="G30" s="32"/>
      <c r="H30" s="32"/>
      <c r="I30" s="23"/>
      <c r="J30" s="33" t="str">
        <f aca="false">IF(B30="","",J29+IF(D30="Entrada",I30,IF(D30="Saída",-I30,0)))</f>
        <v/>
      </c>
    </row>
    <row r="31" customFormat="false" ht="15" hidden="false" customHeight="false" outlineLevel="0" collapsed="false">
      <c r="B31" s="46"/>
      <c r="C31" s="32"/>
      <c r="D31" s="32"/>
      <c r="E31" s="32"/>
      <c r="F31" s="32"/>
      <c r="G31" s="32"/>
      <c r="H31" s="32"/>
      <c r="I31" s="23"/>
      <c r="J31" s="33" t="str">
        <f aca="false">IF(B31="","",J30+IF(D31="Entrada",I31,IF(D31="Saída",-I31,0)))</f>
        <v/>
      </c>
    </row>
    <row r="32" customFormat="false" ht="15" hidden="false" customHeight="false" outlineLevel="0" collapsed="false">
      <c r="B32" s="46"/>
      <c r="C32" s="32"/>
      <c r="D32" s="32"/>
      <c r="E32" s="32"/>
      <c r="F32" s="32"/>
      <c r="G32" s="32"/>
      <c r="H32" s="32"/>
      <c r="I32" s="23"/>
      <c r="J32" s="33" t="str">
        <f aca="false">IF(B32="","",J31+IF(D32="Entrada",I32,IF(D32="Saída",-I32,0)))</f>
        <v/>
      </c>
    </row>
    <row r="33" customFormat="false" ht="15" hidden="false" customHeight="false" outlineLevel="0" collapsed="false">
      <c r="B33" s="46"/>
      <c r="C33" s="32"/>
      <c r="D33" s="32"/>
      <c r="E33" s="32"/>
      <c r="F33" s="32"/>
      <c r="G33" s="32"/>
      <c r="H33" s="32"/>
      <c r="I33" s="23"/>
      <c r="J33" s="33" t="str">
        <f aca="false">IF(B33="","",J32+IF(D33="Entrada",I33,IF(D33="Saída",-I33,0)))</f>
        <v/>
      </c>
    </row>
    <row r="34" customFormat="false" ht="15" hidden="false" customHeight="false" outlineLevel="0" collapsed="false">
      <c r="B34" s="46"/>
      <c r="C34" s="32"/>
      <c r="D34" s="32"/>
      <c r="E34" s="32"/>
      <c r="F34" s="32"/>
      <c r="G34" s="32"/>
      <c r="H34" s="32"/>
      <c r="I34" s="23"/>
      <c r="J34" s="33" t="str">
        <f aca="false">IF(B34="","",J33+IF(D34="Entrada",I34,IF(D34="Saída",-I34,0)))</f>
        <v/>
      </c>
    </row>
    <row r="35" customFormat="false" ht="15" hidden="false" customHeight="false" outlineLevel="0" collapsed="false">
      <c r="B35" s="46"/>
      <c r="C35" s="32"/>
      <c r="D35" s="32"/>
      <c r="E35" s="32"/>
      <c r="F35" s="32"/>
      <c r="G35" s="32"/>
      <c r="H35" s="32"/>
      <c r="I35" s="23"/>
      <c r="J35" s="33" t="str">
        <f aca="false">IF(B35="","",J34+IF(D35="Entrada",I35,IF(D35="Saída",-I35,0)))</f>
        <v/>
      </c>
    </row>
    <row r="36" customFormat="false" ht="15" hidden="false" customHeight="false" outlineLevel="0" collapsed="false">
      <c r="B36" s="46"/>
      <c r="C36" s="32"/>
      <c r="D36" s="32"/>
      <c r="E36" s="32"/>
      <c r="F36" s="32"/>
      <c r="G36" s="32"/>
      <c r="H36" s="32"/>
      <c r="I36" s="23"/>
      <c r="J36" s="33" t="str">
        <f aca="false">IF(B36="","",J35+IF(D36="Entrada",I36,IF(D36="Saída",-I36,0)))</f>
        <v/>
      </c>
    </row>
    <row r="37" customFormat="false" ht="15" hidden="false" customHeight="false" outlineLevel="0" collapsed="false">
      <c r="B37" s="46"/>
      <c r="C37" s="32"/>
      <c r="D37" s="32"/>
      <c r="E37" s="32"/>
      <c r="F37" s="32"/>
      <c r="G37" s="32"/>
      <c r="H37" s="32"/>
      <c r="I37" s="23"/>
      <c r="J37" s="33" t="str">
        <f aca="false">IF(B37="","",J36+IF(D37="Entrada",I37,IF(D37="Saída",-I37,0)))</f>
        <v/>
      </c>
    </row>
    <row r="38" customFormat="false" ht="15" hidden="false" customHeight="false" outlineLevel="0" collapsed="false">
      <c r="B38" s="46"/>
      <c r="C38" s="32"/>
      <c r="D38" s="32"/>
      <c r="E38" s="32"/>
      <c r="F38" s="32"/>
      <c r="G38" s="32"/>
      <c r="H38" s="32"/>
      <c r="I38" s="23"/>
      <c r="J38" s="33" t="str">
        <f aca="false">IF(B38="","",J37+IF(D38="Entrada",I38,IF(D38="Saída",-I38,0)))</f>
        <v/>
      </c>
    </row>
    <row r="39" customFormat="false" ht="15" hidden="false" customHeight="false" outlineLevel="0" collapsed="false">
      <c r="B39" s="46"/>
      <c r="C39" s="32"/>
      <c r="D39" s="32"/>
      <c r="E39" s="32"/>
      <c r="F39" s="32"/>
      <c r="G39" s="32"/>
      <c r="H39" s="32"/>
      <c r="I39" s="23"/>
      <c r="J39" s="33" t="str">
        <f aca="false">IF(B39="","",J38+IF(D39="Entrada",I39,IF(D39="Saída",-I39,0)))</f>
        <v/>
      </c>
    </row>
    <row r="40" customFormat="false" ht="15" hidden="false" customHeight="false" outlineLevel="0" collapsed="false">
      <c r="B40" s="46"/>
      <c r="C40" s="32"/>
      <c r="D40" s="32"/>
      <c r="E40" s="32"/>
      <c r="F40" s="32"/>
      <c r="G40" s="32"/>
      <c r="H40" s="32"/>
      <c r="I40" s="23"/>
      <c r="J40" s="33" t="str">
        <f aca="false">IF(B40="","",J39+IF(D40="Entrada",I40,IF(D40="Saída",-I40,0)))</f>
        <v/>
      </c>
    </row>
    <row r="41" customFormat="false" ht="15" hidden="false" customHeight="false" outlineLevel="0" collapsed="false">
      <c r="B41" s="46"/>
      <c r="C41" s="32"/>
      <c r="D41" s="32"/>
      <c r="E41" s="32"/>
      <c r="F41" s="32"/>
      <c r="G41" s="32"/>
      <c r="H41" s="32"/>
      <c r="I41" s="23"/>
      <c r="J41" s="33" t="str">
        <f aca="false">IF(B41="","",J40+IF(D41="Entrada",I41,IF(D41="Saída",-I41,0)))</f>
        <v/>
      </c>
    </row>
    <row r="42" customFormat="false" ht="15" hidden="false" customHeight="false" outlineLevel="0" collapsed="false">
      <c r="B42" s="46"/>
      <c r="C42" s="32"/>
      <c r="D42" s="32"/>
      <c r="E42" s="32"/>
      <c r="F42" s="32"/>
      <c r="G42" s="32"/>
      <c r="H42" s="32"/>
      <c r="I42" s="23"/>
      <c r="J42" s="33" t="str">
        <f aca="false">IF(B42="","",J41+IF(D42="Entrada",I42,IF(D42="Saída",-I42,0)))</f>
        <v/>
      </c>
    </row>
    <row r="43" customFormat="false" ht="15" hidden="false" customHeight="false" outlineLevel="0" collapsed="false">
      <c r="B43" s="46"/>
      <c r="C43" s="32"/>
      <c r="D43" s="32"/>
      <c r="E43" s="32"/>
      <c r="F43" s="32"/>
      <c r="G43" s="32"/>
      <c r="H43" s="32"/>
      <c r="I43" s="23"/>
      <c r="J43" s="33" t="str">
        <f aca="false">IF(B43="","",J42+IF(D43="Entrada",I43,IF(D43="Saída",-I43,0)))</f>
        <v/>
      </c>
    </row>
    <row r="44" customFormat="false" ht="15" hidden="false" customHeight="false" outlineLevel="0" collapsed="false">
      <c r="B44" s="46"/>
      <c r="C44" s="32"/>
      <c r="D44" s="32"/>
      <c r="E44" s="32"/>
      <c r="F44" s="32"/>
      <c r="G44" s="32"/>
      <c r="H44" s="32"/>
      <c r="I44" s="23"/>
      <c r="J44" s="33" t="str">
        <f aca="false">IF(B44="","",J43+IF(D44="Entrada",I44,IF(D44="Saída",-I44,0)))</f>
        <v/>
      </c>
    </row>
    <row r="45" customFormat="false" ht="15" hidden="false" customHeight="false" outlineLevel="0" collapsed="false">
      <c r="B45" s="46"/>
      <c r="C45" s="32"/>
      <c r="D45" s="32"/>
      <c r="E45" s="32"/>
      <c r="F45" s="32"/>
      <c r="G45" s="32"/>
      <c r="H45" s="32"/>
      <c r="I45" s="23"/>
      <c r="J45" s="33" t="str">
        <f aca="false">IF(B45="","",J44+IF(D45="Entrada",I45,IF(D45="Saída",-I45,0)))</f>
        <v/>
      </c>
    </row>
    <row r="46" customFormat="false" ht="15" hidden="false" customHeight="false" outlineLevel="0" collapsed="false">
      <c r="B46" s="46"/>
      <c r="C46" s="32"/>
      <c r="D46" s="32"/>
      <c r="E46" s="32"/>
      <c r="F46" s="32"/>
      <c r="G46" s="32"/>
      <c r="H46" s="32"/>
      <c r="I46" s="23"/>
      <c r="J46" s="33" t="str">
        <f aca="false">IF(B46="","",J45+IF(D46="Entrada",I46,IF(D46="Saída",-I46,0)))</f>
        <v/>
      </c>
    </row>
    <row r="47" customFormat="false" ht="15" hidden="false" customHeight="false" outlineLevel="0" collapsed="false">
      <c r="B47" s="46"/>
      <c r="C47" s="32"/>
      <c r="D47" s="32"/>
      <c r="E47" s="32"/>
      <c r="F47" s="32"/>
      <c r="G47" s="32"/>
      <c r="H47" s="32"/>
      <c r="I47" s="23"/>
      <c r="J47" s="33" t="str">
        <f aca="false">IF(B47="","",J46+IF(D47="Entrada",I47,IF(D47="Saída",-I47,0)))</f>
        <v/>
      </c>
    </row>
    <row r="48" customFormat="false" ht="15" hidden="false" customHeight="false" outlineLevel="0" collapsed="false">
      <c r="B48" s="46"/>
      <c r="C48" s="32"/>
      <c r="D48" s="32"/>
      <c r="E48" s="32"/>
      <c r="F48" s="32"/>
      <c r="G48" s="32"/>
      <c r="H48" s="32"/>
      <c r="I48" s="23"/>
      <c r="J48" s="33" t="str">
        <f aca="false">IF(B48="","",J47+IF(D48="Entrada",I48,IF(D48="Saída",-I48,0)))</f>
        <v/>
      </c>
    </row>
    <row r="49" customFormat="false" ht="15" hidden="false" customHeight="false" outlineLevel="0" collapsed="false">
      <c r="B49" s="46"/>
      <c r="C49" s="32"/>
      <c r="D49" s="32"/>
      <c r="E49" s="32"/>
      <c r="F49" s="32"/>
      <c r="G49" s="32"/>
      <c r="H49" s="32"/>
      <c r="I49" s="23"/>
      <c r="J49" s="33" t="str">
        <f aca="false">IF(B49="","",J48+IF(D49="Entrada",I49,IF(D49="Saída",-I49,0)))</f>
        <v/>
      </c>
    </row>
    <row r="50" customFormat="false" ht="15" hidden="false" customHeight="false" outlineLevel="0" collapsed="false">
      <c r="B50" s="46"/>
      <c r="C50" s="32"/>
      <c r="D50" s="32"/>
      <c r="E50" s="32"/>
      <c r="F50" s="32"/>
      <c r="G50" s="32"/>
      <c r="H50" s="32"/>
      <c r="I50" s="23"/>
      <c r="J50" s="33" t="str">
        <f aca="false">IF(B50="","",J49+IF(D50="Entrada",I50,IF(D50="Saída",-I50,0)))</f>
        <v/>
      </c>
    </row>
    <row r="51" customFormat="false" ht="15" hidden="false" customHeight="false" outlineLevel="0" collapsed="false">
      <c r="B51" s="46"/>
      <c r="C51" s="32"/>
      <c r="D51" s="32"/>
      <c r="E51" s="32"/>
      <c r="F51" s="32"/>
      <c r="G51" s="32"/>
      <c r="H51" s="32"/>
      <c r="I51" s="23"/>
      <c r="J51" s="33" t="str">
        <f aca="false">IF(B51="","",J50+IF(D51="Entrada",I51,IF(D51="Saída",-I51,0)))</f>
        <v/>
      </c>
    </row>
    <row r="52" customFormat="false" ht="15" hidden="false" customHeight="false" outlineLevel="0" collapsed="false">
      <c r="B52" s="46"/>
      <c r="C52" s="32"/>
      <c r="D52" s="32"/>
      <c r="E52" s="32"/>
      <c r="F52" s="32"/>
      <c r="G52" s="32"/>
      <c r="H52" s="32"/>
      <c r="I52" s="23"/>
      <c r="J52" s="33" t="str">
        <f aca="false">IF(B52="","",J51+IF(D52="Entrada",I52,IF(D52="Saída",-I52,0)))</f>
        <v/>
      </c>
    </row>
    <row r="53" customFormat="false" ht="15" hidden="false" customHeight="false" outlineLevel="0" collapsed="false">
      <c r="B53" s="46"/>
      <c r="C53" s="32"/>
      <c r="D53" s="32"/>
      <c r="E53" s="32"/>
      <c r="F53" s="32"/>
      <c r="G53" s="32"/>
      <c r="H53" s="32"/>
      <c r="I53" s="23"/>
      <c r="J53" s="33" t="str">
        <f aca="false">IF(B53="","",J52+IF(D53="Entrada",I53,IF(D53="Saída",-I53,0)))</f>
        <v/>
      </c>
    </row>
    <row r="54" customFormat="false" ht="15" hidden="false" customHeight="false" outlineLevel="0" collapsed="false">
      <c r="B54" s="46"/>
      <c r="C54" s="32"/>
      <c r="D54" s="32"/>
      <c r="E54" s="32"/>
      <c r="F54" s="32"/>
      <c r="G54" s="32"/>
      <c r="H54" s="32"/>
      <c r="I54" s="23"/>
      <c r="J54" s="33" t="str">
        <f aca="false">IF(B54="","",J53+IF(D54="Entrada",I54,IF(D54="Saída",-I54,0)))</f>
        <v/>
      </c>
    </row>
    <row r="55" customFormat="false" ht="15" hidden="false" customHeight="false" outlineLevel="0" collapsed="false">
      <c r="B55" s="46"/>
      <c r="C55" s="32"/>
      <c r="D55" s="32"/>
      <c r="E55" s="32"/>
      <c r="F55" s="32"/>
      <c r="G55" s="32"/>
      <c r="H55" s="32"/>
      <c r="I55" s="23"/>
      <c r="J55" s="33" t="str">
        <f aca="false">IF(B55="","",J54+IF(D55="Entrada",I55,IF(D55="Saída",-I55,0)))</f>
        <v/>
      </c>
    </row>
    <row r="56" customFormat="false" ht="15" hidden="false" customHeight="false" outlineLevel="0" collapsed="false">
      <c r="B56" s="46"/>
      <c r="C56" s="32"/>
      <c r="D56" s="32"/>
      <c r="E56" s="32"/>
      <c r="F56" s="32"/>
      <c r="G56" s="32"/>
      <c r="H56" s="32"/>
      <c r="I56" s="23"/>
      <c r="J56" s="33" t="str">
        <f aca="false">IF(B56="","",J55+IF(D56="Entrada",I56,IF(D56="Saída",-I56,0)))</f>
        <v/>
      </c>
    </row>
    <row r="57" customFormat="false" ht="15" hidden="false" customHeight="false" outlineLevel="0" collapsed="false">
      <c r="B57" s="46"/>
      <c r="C57" s="32"/>
      <c r="D57" s="32"/>
      <c r="E57" s="32"/>
      <c r="F57" s="32"/>
      <c r="G57" s="32"/>
      <c r="H57" s="32"/>
      <c r="I57" s="23"/>
      <c r="J57" s="33" t="str">
        <f aca="false">IF(B57="","",J56+IF(D57="Entrada",I57,IF(D57="Saída",-I57,0)))</f>
        <v/>
      </c>
    </row>
    <row r="58" customFormat="false" ht="15" hidden="false" customHeight="false" outlineLevel="0" collapsed="false">
      <c r="B58" s="46"/>
      <c r="C58" s="32"/>
      <c r="D58" s="32"/>
      <c r="E58" s="32"/>
      <c r="F58" s="32"/>
      <c r="G58" s="32"/>
      <c r="H58" s="32"/>
      <c r="I58" s="23"/>
      <c r="J58" s="33" t="str">
        <f aca="false">IF(B58="","",J57+IF(D58="Entrada",I58,IF(D58="Saída",-I58,0)))</f>
        <v/>
      </c>
    </row>
    <row r="59" customFormat="false" ht="15" hidden="false" customHeight="false" outlineLevel="0" collapsed="false">
      <c r="B59" s="46"/>
      <c r="C59" s="32"/>
      <c r="D59" s="32"/>
      <c r="E59" s="32"/>
      <c r="F59" s="32"/>
      <c r="G59" s="32"/>
      <c r="H59" s="32"/>
      <c r="I59" s="23"/>
      <c r="J59" s="33" t="str">
        <f aca="false">IF(B59="","",J58+IF(D59="Entrada",I59,IF(D59="Saída",-I59,0)))</f>
        <v/>
      </c>
    </row>
    <row r="60" customFormat="false" ht="15" hidden="false" customHeight="false" outlineLevel="0" collapsed="false">
      <c r="B60" s="46"/>
      <c r="C60" s="32"/>
      <c r="D60" s="32"/>
      <c r="E60" s="32"/>
      <c r="F60" s="32"/>
      <c r="G60" s="32"/>
      <c r="H60" s="32"/>
      <c r="I60" s="23"/>
      <c r="J60" s="33" t="str">
        <f aca="false">IF(B60="","",J59+IF(D60="Entrada",I60,IF(D60="Saída",-I60,0)))</f>
        <v/>
      </c>
    </row>
    <row r="61" customFormat="false" ht="15" hidden="false" customHeight="false" outlineLevel="0" collapsed="false">
      <c r="B61" s="46"/>
      <c r="C61" s="32"/>
      <c r="D61" s="32"/>
      <c r="E61" s="32"/>
      <c r="F61" s="32"/>
      <c r="G61" s="32"/>
      <c r="H61" s="32"/>
      <c r="I61" s="23"/>
      <c r="J61" s="33" t="str">
        <f aca="false">IF(B61="","",J60+IF(D61="Entrada",I61,IF(D61="Saída",-I61,0)))</f>
        <v/>
      </c>
    </row>
    <row r="62" customFormat="false" ht="15" hidden="false" customHeight="false" outlineLevel="0" collapsed="false">
      <c r="B62" s="46"/>
      <c r="C62" s="32"/>
      <c r="D62" s="32"/>
      <c r="E62" s="32"/>
      <c r="F62" s="32"/>
      <c r="G62" s="32"/>
      <c r="H62" s="32"/>
      <c r="I62" s="23"/>
      <c r="J62" s="33" t="str">
        <f aca="false">IF(B62="","",J61+IF(D62="Entrada",I62,IF(D62="Saída",-I62,0)))</f>
        <v/>
      </c>
    </row>
    <row r="63" customFormat="false" ht="15" hidden="false" customHeight="false" outlineLevel="0" collapsed="false">
      <c r="B63" s="46"/>
      <c r="C63" s="32"/>
      <c r="D63" s="32"/>
      <c r="E63" s="32"/>
      <c r="F63" s="32"/>
      <c r="G63" s="32"/>
      <c r="H63" s="32"/>
      <c r="I63" s="23"/>
      <c r="J63" s="33" t="str">
        <f aca="false">IF(B63="","",J62+IF(D63="Entrada",I63,IF(D63="Saída",-I63,0)))</f>
        <v/>
      </c>
    </row>
    <row r="64" customFormat="false" ht="15" hidden="false" customHeight="false" outlineLevel="0" collapsed="false">
      <c r="B64" s="46"/>
      <c r="C64" s="32"/>
      <c r="D64" s="32"/>
      <c r="E64" s="32"/>
      <c r="F64" s="32"/>
      <c r="G64" s="32"/>
      <c r="H64" s="32"/>
      <c r="I64" s="23"/>
      <c r="J64" s="33" t="str">
        <f aca="false">IF(B64="","",J63+IF(D64="Entrada",I64,IF(D64="Saída",-I64,0)))</f>
        <v/>
      </c>
    </row>
    <row r="65" customFormat="false" ht="15" hidden="false" customHeight="false" outlineLevel="0" collapsed="false">
      <c r="B65" s="46"/>
      <c r="C65" s="32"/>
      <c r="D65" s="32"/>
      <c r="E65" s="32"/>
      <c r="F65" s="32"/>
      <c r="G65" s="32"/>
      <c r="H65" s="32"/>
      <c r="I65" s="23"/>
      <c r="J65" s="33" t="str">
        <f aca="false">IF(B65="","",J64+IF(D65="Entrada",I65,IF(D65="Saída",-I65,0)))</f>
        <v/>
      </c>
    </row>
    <row r="66" customFormat="false" ht="15" hidden="false" customHeight="false" outlineLevel="0" collapsed="false">
      <c r="B66" s="46"/>
      <c r="C66" s="32"/>
      <c r="D66" s="32"/>
      <c r="E66" s="32"/>
      <c r="F66" s="32"/>
      <c r="G66" s="32"/>
      <c r="H66" s="32"/>
      <c r="I66" s="23"/>
      <c r="J66" s="33" t="str">
        <f aca="false">IF(B66="","",J65+IF(D66="Entrada",I66,IF(D66="Saída",-I66,0)))</f>
        <v/>
      </c>
    </row>
    <row r="67" customFormat="false" ht="15" hidden="false" customHeight="false" outlineLevel="0" collapsed="false">
      <c r="B67" s="46"/>
      <c r="C67" s="32"/>
      <c r="D67" s="32"/>
      <c r="E67" s="32"/>
      <c r="F67" s="32"/>
      <c r="G67" s="32"/>
      <c r="H67" s="32"/>
      <c r="I67" s="23"/>
      <c r="J67" s="33" t="str">
        <f aca="false">IF(B67="","",J66+IF(D67="Entrada",I67,IF(D67="Saída",-I67,0)))</f>
        <v/>
      </c>
    </row>
    <row r="68" customFormat="false" ht="15" hidden="false" customHeight="false" outlineLevel="0" collapsed="false">
      <c r="B68" s="46"/>
      <c r="C68" s="32"/>
      <c r="D68" s="32"/>
      <c r="E68" s="32"/>
      <c r="F68" s="32"/>
      <c r="G68" s="32"/>
      <c r="H68" s="32"/>
      <c r="I68" s="23"/>
      <c r="J68" s="33" t="str">
        <f aca="false">IF(B68="","",J67+IF(D68="Entrada",I68,IF(D68="Saída",-I68,0)))</f>
        <v/>
      </c>
    </row>
    <row r="69" customFormat="false" ht="15" hidden="false" customHeight="false" outlineLevel="0" collapsed="false">
      <c r="B69" s="46"/>
      <c r="C69" s="32"/>
      <c r="D69" s="32"/>
      <c r="E69" s="32"/>
      <c r="F69" s="32"/>
      <c r="G69" s="32"/>
      <c r="H69" s="32"/>
      <c r="I69" s="23"/>
      <c r="J69" s="33" t="str">
        <f aca="false">IF(B69="","",J68+IF(D69="Entrada",I69,IF(D69="Saída",-I69,0)))</f>
        <v/>
      </c>
    </row>
    <row r="70" customFormat="false" ht="15" hidden="false" customHeight="false" outlineLevel="0" collapsed="false">
      <c r="B70" s="46"/>
      <c r="C70" s="32"/>
      <c r="D70" s="32"/>
      <c r="E70" s="32"/>
      <c r="F70" s="32"/>
      <c r="G70" s="32"/>
      <c r="H70" s="32"/>
      <c r="I70" s="23"/>
      <c r="J70" s="33" t="str">
        <f aca="false">IF(B70="","",J69+IF(D70="Entrada",I70,IF(D70="Saída",-I70,0)))</f>
        <v/>
      </c>
    </row>
    <row r="71" customFormat="false" ht="15" hidden="false" customHeight="false" outlineLevel="0" collapsed="false">
      <c r="B71" s="46"/>
      <c r="C71" s="32"/>
      <c r="D71" s="32"/>
      <c r="E71" s="32"/>
      <c r="F71" s="32"/>
      <c r="G71" s="32"/>
      <c r="H71" s="32"/>
      <c r="I71" s="23"/>
      <c r="J71" s="33" t="str">
        <f aca="false">IF(B71="","",J70+IF(D71="Entrada",I71,IF(D71="Saída",-I71,0)))</f>
        <v/>
      </c>
    </row>
    <row r="72" customFormat="false" ht="15" hidden="false" customHeight="false" outlineLevel="0" collapsed="false">
      <c r="B72" s="46"/>
      <c r="C72" s="32"/>
      <c r="D72" s="32"/>
      <c r="E72" s="32"/>
      <c r="F72" s="32"/>
      <c r="G72" s="32"/>
      <c r="H72" s="32"/>
      <c r="I72" s="23"/>
      <c r="J72" s="33" t="str">
        <f aca="false">IF(B72="","",J71+IF(D72="Entrada",I72,IF(D72="Saída",-I72,0)))</f>
        <v/>
      </c>
    </row>
    <row r="73" customFormat="false" ht="15" hidden="false" customHeight="false" outlineLevel="0" collapsed="false">
      <c r="B73" s="46"/>
      <c r="C73" s="32"/>
      <c r="D73" s="32"/>
      <c r="E73" s="32"/>
      <c r="F73" s="32"/>
      <c r="G73" s="32"/>
      <c r="H73" s="32"/>
      <c r="I73" s="23"/>
      <c r="J73" s="33" t="str">
        <f aca="false">IF(B73="","",J72+IF(D73="Entrada",I73,IF(D73="Saída",-I73,0)))</f>
        <v/>
      </c>
    </row>
    <row r="74" customFormat="false" ht="15" hidden="false" customHeight="false" outlineLevel="0" collapsed="false">
      <c r="B74" s="46"/>
      <c r="C74" s="32"/>
      <c r="D74" s="32"/>
      <c r="E74" s="32"/>
      <c r="F74" s="32"/>
      <c r="G74" s="32"/>
      <c r="H74" s="32"/>
      <c r="I74" s="23"/>
      <c r="J74" s="33" t="str">
        <f aca="false">IF(B74="","",J73+IF(D74="Entrada",I74,IF(D74="Saída",-I74,0)))</f>
        <v/>
      </c>
    </row>
    <row r="75" customFormat="false" ht="15" hidden="false" customHeight="false" outlineLevel="0" collapsed="false">
      <c r="B75" s="46"/>
      <c r="C75" s="32"/>
      <c r="D75" s="32"/>
      <c r="E75" s="32"/>
      <c r="F75" s="32"/>
      <c r="G75" s="32"/>
      <c r="H75" s="32"/>
      <c r="I75" s="23"/>
      <c r="J75" s="33" t="str">
        <f aca="false">IF(B75="","",J74+IF(D75="Entrada",I75,IF(D75="Saída",-I75,0)))</f>
        <v/>
      </c>
    </row>
    <row r="76" customFormat="false" ht="15" hidden="false" customHeight="false" outlineLevel="0" collapsed="false">
      <c r="B76" s="46"/>
      <c r="C76" s="32"/>
      <c r="D76" s="32"/>
      <c r="E76" s="32"/>
      <c r="F76" s="32"/>
      <c r="G76" s="32"/>
      <c r="H76" s="32"/>
      <c r="I76" s="23"/>
      <c r="J76" s="33" t="str">
        <f aca="false">IF(B76="","",J75+IF(D76="Entrada",I76,IF(D76="Saída",-I76,0)))</f>
        <v/>
      </c>
    </row>
    <row r="77" customFormat="false" ht="15" hidden="false" customHeight="false" outlineLevel="0" collapsed="false">
      <c r="B77" s="46"/>
      <c r="C77" s="32"/>
      <c r="D77" s="32"/>
      <c r="E77" s="32"/>
      <c r="F77" s="32"/>
      <c r="G77" s="32"/>
      <c r="H77" s="32"/>
      <c r="I77" s="23"/>
      <c r="J77" s="33" t="str">
        <f aca="false">IF(B77="","",J76+IF(D77="Entrada",I77,IF(D77="Saída",-I77,0)))</f>
        <v/>
      </c>
    </row>
    <row r="78" customFormat="false" ht="15" hidden="false" customHeight="false" outlineLevel="0" collapsed="false">
      <c r="B78" s="46"/>
      <c r="C78" s="32"/>
      <c r="D78" s="32"/>
      <c r="E78" s="32"/>
      <c r="F78" s="32"/>
      <c r="G78" s="32"/>
      <c r="H78" s="32"/>
      <c r="I78" s="23"/>
      <c r="J78" s="33" t="str">
        <f aca="false">IF(B78="","",J77+IF(D78="Entrada",I78,IF(D78="Saída",-I78,0)))</f>
        <v/>
      </c>
    </row>
    <row r="79" customFormat="false" ht="15" hidden="false" customHeight="false" outlineLevel="0" collapsed="false">
      <c r="B79" s="46"/>
      <c r="C79" s="32"/>
      <c r="D79" s="32"/>
      <c r="E79" s="32"/>
      <c r="F79" s="32"/>
      <c r="G79" s="32"/>
      <c r="H79" s="32"/>
      <c r="I79" s="23"/>
      <c r="J79" s="33" t="str">
        <f aca="false">IF(B79="","",J78+IF(D79="Entrada",I79,IF(D79="Saída",-I79,0)))</f>
        <v/>
      </c>
    </row>
    <row r="80" customFormat="false" ht="15" hidden="false" customHeight="false" outlineLevel="0" collapsed="false">
      <c r="B80" s="46"/>
      <c r="C80" s="32"/>
      <c r="D80" s="32"/>
      <c r="E80" s="32"/>
      <c r="F80" s="32"/>
      <c r="G80" s="32"/>
      <c r="H80" s="32"/>
      <c r="I80" s="23"/>
      <c r="J80" s="33" t="str">
        <f aca="false">IF(B80="","",J79+IF(D80="Entrada",I80,IF(D80="Saída",-I80,0)))</f>
        <v/>
      </c>
    </row>
    <row r="81" customFormat="false" ht="15" hidden="false" customHeight="false" outlineLevel="0" collapsed="false">
      <c r="B81" s="46"/>
      <c r="C81" s="32"/>
      <c r="D81" s="32"/>
      <c r="E81" s="32"/>
      <c r="F81" s="32"/>
      <c r="G81" s="32"/>
      <c r="H81" s="32"/>
      <c r="I81" s="23"/>
      <c r="J81" s="33" t="str">
        <f aca="false">IF(B81="","",J80+IF(D81="Entrada",I81,IF(D81="Saída",-I81,0)))</f>
        <v/>
      </c>
    </row>
    <row r="82" customFormat="false" ht="15" hidden="false" customHeight="false" outlineLevel="0" collapsed="false">
      <c r="B82" s="46"/>
      <c r="C82" s="32"/>
      <c r="D82" s="32"/>
      <c r="E82" s="32"/>
      <c r="F82" s="32"/>
      <c r="G82" s="32"/>
      <c r="H82" s="32"/>
      <c r="I82" s="23"/>
      <c r="J82" s="33" t="str">
        <f aca="false">IF(B82="","",J81+IF(D82="Entrada",I82,IF(D82="Saída",-I82,0)))</f>
        <v/>
      </c>
    </row>
    <row r="83" customFormat="false" ht="15" hidden="false" customHeight="false" outlineLevel="0" collapsed="false">
      <c r="B83" s="46"/>
      <c r="C83" s="32"/>
      <c r="D83" s="32"/>
      <c r="E83" s="32"/>
      <c r="F83" s="32"/>
      <c r="G83" s="32"/>
      <c r="H83" s="32"/>
      <c r="I83" s="23"/>
      <c r="J83" s="33" t="str">
        <f aca="false">IF(B83="","",J82+IF(D83="Entrada",I83,IF(D83="Saída",-I83,0)))</f>
        <v/>
      </c>
    </row>
    <row r="84" customFormat="false" ht="15" hidden="false" customHeight="false" outlineLevel="0" collapsed="false">
      <c r="B84" s="46"/>
      <c r="C84" s="32"/>
      <c r="D84" s="32"/>
      <c r="E84" s="32"/>
      <c r="F84" s="32"/>
      <c r="G84" s="32"/>
      <c r="H84" s="32"/>
      <c r="I84" s="23"/>
      <c r="J84" s="33" t="str">
        <f aca="false">IF(B84="","",J83+IF(D84="Entrada",I84,IF(D84="Saída",-I84,0)))</f>
        <v/>
      </c>
    </row>
    <row r="85" customFormat="false" ht="15" hidden="false" customHeight="false" outlineLevel="0" collapsed="false">
      <c r="B85" s="46"/>
      <c r="C85" s="32"/>
      <c r="D85" s="32"/>
      <c r="E85" s="32"/>
      <c r="F85" s="32"/>
      <c r="G85" s="32"/>
      <c r="H85" s="32"/>
      <c r="I85" s="23"/>
      <c r="J85" s="33" t="str">
        <f aca="false">IF(B85="","",J84+IF(D85="Entrada",I85,IF(D85="Saída",-I85,0)))</f>
        <v/>
      </c>
    </row>
    <row r="86" customFormat="false" ht="15" hidden="false" customHeight="false" outlineLevel="0" collapsed="false">
      <c r="B86" s="46"/>
      <c r="C86" s="32"/>
      <c r="D86" s="32"/>
      <c r="E86" s="32"/>
      <c r="F86" s="32"/>
      <c r="G86" s="32"/>
      <c r="H86" s="32"/>
      <c r="I86" s="23"/>
      <c r="J86" s="33" t="str">
        <f aca="false">IF(B86="","",J85+IF(D86="Entrada",I86,IF(D86="Saída",-I86,0)))</f>
        <v/>
      </c>
    </row>
    <row r="87" customFormat="false" ht="15" hidden="false" customHeight="false" outlineLevel="0" collapsed="false">
      <c r="B87" s="46"/>
      <c r="C87" s="32"/>
      <c r="D87" s="32"/>
      <c r="E87" s="32"/>
      <c r="F87" s="32"/>
      <c r="G87" s="32"/>
      <c r="H87" s="32"/>
      <c r="I87" s="23"/>
      <c r="J87" s="33" t="str">
        <f aca="false">IF(B87="","",J86+IF(D87="Entrada",I87,IF(D87="Saída",-I87,0)))</f>
        <v/>
      </c>
    </row>
    <row r="88" customFormat="false" ht="15" hidden="false" customHeight="false" outlineLevel="0" collapsed="false">
      <c r="B88" s="46"/>
      <c r="C88" s="32"/>
      <c r="D88" s="32"/>
      <c r="E88" s="32"/>
      <c r="F88" s="32"/>
      <c r="G88" s="32"/>
      <c r="H88" s="32"/>
      <c r="I88" s="23"/>
      <c r="J88" s="33" t="str">
        <f aca="false">IF(B88="","",J87+IF(D88="Entrada",I88,IF(D88="Saída",-I88,0)))</f>
        <v/>
      </c>
    </row>
    <row r="89" customFormat="false" ht="15" hidden="false" customHeight="false" outlineLevel="0" collapsed="false">
      <c r="B89" s="46"/>
      <c r="C89" s="32"/>
      <c r="D89" s="32"/>
      <c r="E89" s="32"/>
      <c r="F89" s="32"/>
      <c r="G89" s="32"/>
      <c r="H89" s="32"/>
      <c r="I89" s="23"/>
      <c r="J89" s="33" t="str">
        <f aca="false">IF(B89="","",J88+IF(D89="Entrada",I89,IF(D89="Saída",-I89,0)))</f>
        <v/>
      </c>
    </row>
    <row r="90" customFormat="false" ht="15" hidden="false" customHeight="false" outlineLevel="0" collapsed="false">
      <c r="B90" s="46"/>
      <c r="C90" s="32"/>
      <c r="D90" s="32"/>
      <c r="E90" s="32"/>
      <c r="F90" s="32"/>
      <c r="G90" s="32"/>
      <c r="H90" s="32"/>
      <c r="I90" s="23"/>
      <c r="J90" s="33" t="str">
        <f aca="false">IF(B90="","",J89+IF(D90="Entrada",I90,IF(D90="Saída",-I90,0)))</f>
        <v/>
      </c>
    </row>
    <row r="91" customFormat="false" ht="15" hidden="false" customHeight="false" outlineLevel="0" collapsed="false">
      <c r="B91" s="46"/>
      <c r="C91" s="32"/>
      <c r="D91" s="32"/>
      <c r="E91" s="32"/>
      <c r="F91" s="32"/>
      <c r="G91" s="32"/>
      <c r="H91" s="32"/>
      <c r="I91" s="23"/>
      <c r="J91" s="33" t="str">
        <f aca="false">IF(B91="","",J90+IF(D91="Entrada",I91,IF(D91="Saída",-I91,0)))</f>
        <v/>
      </c>
    </row>
    <row r="92" customFormat="false" ht="15" hidden="false" customHeight="false" outlineLevel="0" collapsed="false">
      <c r="B92" s="46"/>
      <c r="C92" s="32"/>
      <c r="D92" s="32"/>
      <c r="E92" s="32"/>
      <c r="F92" s="32"/>
      <c r="G92" s="32"/>
      <c r="H92" s="32"/>
      <c r="I92" s="23"/>
      <c r="J92" s="33" t="str">
        <f aca="false">IF(B92="","",J91+IF(D92="Entrada",I92,IF(D92="Saída",-I92,0)))</f>
        <v/>
      </c>
    </row>
    <row r="93" customFormat="false" ht="15" hidden="false" customHeight="false" outlineLevel="0" collapsed="false">
      <c r="B93" s="46"/>
      <c r="C93" s="32"/>
      <c r="D93" s="32"/>
      <c r="E93" s="32"/>
      <c r="F93" s="32"/>
      <c r="G93" s="32"/>
      <c r="H93" s="32"/>
      <c r="I93" s="23"/>
      <c r="J93" s="33" t="str">
        <f aca="false">IF(B93="","",J92+IF(D93="Entrada",I93,IF(D93="Saída",-I93,0)))</f>
        <v/>
      </c>
    </row>
    <row r="94" customFormat="false" ht="15" hidden="false" customHeight="false" outlineLevel="0" collapsed="false">
      <c r="B94" s="46"/>
      <c r="C94" s="32"/>
      <c r="D94" s="32"/>
      <c r="E94" s="32"/>
      <c r="F94" s="32"/>
      <c r="G94" s="32"/>
      <c r="H94" s="32"/>
      <c r="I94" s="23"/>
      <c r="J94" s="33" t="str">
        <f aca="false">IF(B94="","",J93+IF(D94="Entrada",I94,IF(D94="Saída",-I94,0)))</f>
        <v/>
      </c>
    </row>
    <row r="95" customFormat="false" ht="15" hidden="false" customHeight="false" outlineLevel="0" collapsed="false">
      <c r="B95" s="46"/>
      <c r="C95" s="32"/>
      <c r="D95" s="32"/>
      <c r="E95" s="32"/>
      <c r="F95" s="32"/>
      <c r="G95" s="32"/>
      <c r="H95" s="32"/>
      <c r="I95" s="23"/>
      <c r="J95" s="33" t="str">
        <f aca="false">IF(B95="","",J94+IF(D95="Entrada",I95,IF(D95="Saída",-I95,0)))</f>
        <v/>
      </c>
    </row>
    <row r="96" customFormat="false" ht="15" hidden="false" customHeight="false" outlineLevel="0" collapsed="false">
      <c r="B96" s="46"/>
      <c r="C96" s="32"/>
      <c r="D96" s="32"/>
      <c r="E96" s="32"/>
      <c r="F96" s="32"/>
      <c r="G96" s="32"/>
      <c r="H96" s="32"/>
      <c r="I96" s="23"/>
      <c r="J96" s="33" t="str">
        <f aca="false">IF(B96="","",J95+IF(D96="Entrada",I96,IF(D96="Saída",-I96,0)))</f>
        <v/>
      </c>
    </row>
    <row r="97" customFormat="false" ht="15" hidden="false" customHeight="false" outlineLevel="0" collapsed="false">
      <c r="B97" s="46"/>
      <c r="C97" s="32"/>
      <c r="D97" s="32"/>
      <c r="E97" s="32"/>
      <c r="F97" s="32"/>
      <c r="G97" s="32"/>
      <c r="H97" s="32"/>
      <c r="I97" s="23"/>
      <c r="J97" s="33" t="str">
        <f aca="false">IF(B97="","",J96+IF(D97="Entrada",I97,IF(D97="Saída",-I97,0)))</f>
        <v/>
      </c>
    </row>
    <row r="98" customFormat="false" ht="15" hidden="false" customHeight="false" outlineLevel="0" collapsed="false">
      <c r="B98" s="46"/>
      <c r="C98" s="32"/>
      <c r="D98" s="32"/>
      <c r="E98" s="32"/>
      <c r="F98" s="32"/>
      <c r="G98" s="32"/>
      <c r="H98" s="32"/>
      <c r="I98" s="23"/>
      <c r="J98" s="33" t="str">
        <f aca="false">IF(B98="","",J97+IF(D98="Entrada",I98,IF(D98="Saída",-I98,0)))</f>
        <v/>
      </c>
    </row>
    <row r="99" customFormat="false" ht="15" hidden="false" customHeight="false" outlineLevel="0" collapsed="false">
      <c r="B99" s="46"/>
      <c r="C99" s="32"/>
      <c r="D99" s="32"/>
      <c r="E99" s="32"/>
      <c r="F99" s="32"/>
      <c r="G99" s="32"/>
      <c r="H99" s="32"/>
      <c r="I99" s="23"/>
      <c r="J99" s="33" t="str">
        <f aca="false">IF(B99="","",J98+IF(D99="Entrada",I99,IF(D99="Saída",-I99,0)))</f>
        <v/>
      </c>
    </row>
    <row r="100" customFormat="false" ht="15" hidden="false" customHeight="false" outlineLevel="0" collapsed="false">
      <c r="B100" s="46"/>
      <c r="C100" s="32"/>
      <c r="D100" s="32"/>
      <c r="E100" s="32"/>
      <c r="F100" s="32"/>
      <c r="G100" s="32"/>
      <c r="H100" s="32"/>
      <c r="I100" s="23"/>
      <c r="J100" s="33" t="str">
        <f aca="false">IF(B100="","",J99+IF(D100="Entrada",I100,IF(D100="Saída",-I100,0)))</f>
        <v/>
      </c>
    </row>
    <row r="101" customFormat="false" ht="15" hidden="false" customHeight="false" outlineLevel="0" collapsed="false">
      <c r="B101" s="46"/>
      <c r="C101" s="32"/>
      <c r="D101" s="32"/>
      <c r="E101" s="32"/>
      <c r="F101" s="32"/>
      <c r="G101" s="32"/>
      <c r="H101" s="32"/>
      <c r="I101" s="23"/>
      <c r="J101" s="33" t="str">
        <f aca="false">IF(B101="","",J100+IF(D101="Entrada",I101,IF(D101="Saída",-I101,0)))</f>
        <v/>
      </c>
    </row>
    <row r="102" customFormat="false" ht="15" hidden="false" customHeight="false" outlineLevel="0" collapsed="false">
      <c r="B102" s="46"/>
      <c r="C102" s="32"/>
      <c r="D102" s="32"/>
      <c r="E102" s="32"/>
      <c r="F102" s="32"/>
      <c r="G102" s="32"/>
      <c r="H102" s="32"/>
      <c r="I102" s="23"/>
      <c r="J102" s="33" t="str">
        <f aca="false">IF(B102="","",J101+IF(D102="Entrada",I102,IF(D102="Saída",-I102,0)))</f>
        <v/>
      </c>
    </row>
    <row r="103" customFormat="false" ht="15" hidden="false" customHeight="false" outlineLevel="0" collapsed="false">
      <c r="B103" s="46"/>
      <c r="C103" s="32"/>
      <c r="D103" s="32"/>
      <c r="E103" s="32"/>
      <c r="F103" s="32"/>
      <c r="G103" s="32"/>
      <c r="H103" s="32"/>
      <c r="I103" s="23"/>
      <c r="J103" s="33" t="str">
        <f aca="false">IF(B103="","",J102+IF(D103="Entrada",I103,IF(D103="Saída",-I103,0)))</f>
        <v/>
      </c>
    </row>
    <row r="104" customFormat="false" ht="15" hidden="false" customHeight="false" outlineLevel="0" collapsed="false">
      <c r="B104" s="46"/>
      <c r="C104" s="32"/>
      <c r="D104" s="32"/>
      <c r="E104" s="32"/>
      <c r="F104" s="32"/>
      <c r="G104" s="32"/>
      <c r="H104" s="32"/>
      <c r="I104" s="23"/>
      <c r="J104" s="33" t="str">
        <f aca="false">IF(B104="","",J103+IF(D104="Entrada",I104,IF(D104="Saída",-I104,0)))</f>
        <v/>
      </c>
    </row>
    <row r="105" customFormat="false" ht="15" hidden="false" customHeight="false" outlineLevel="0" collapsed="false">
      <c r="B105" s="46"/>
      <c r="C105" s="32"/>
      <c r="D105" s="32"/>
      <c r="E105" s="32"/>
      <c r="F105" s="32"/>
      <c r="G105" s="32"/>
      <c r="H105" s="32"/>
      <c r="I105" s="23"/>
      <c r="J105" s="33" t="str">
        <f aca="false">IF(B105="","",J104+IF(D105="Entrada",I105,IF(D105="Saída",-I105,0)))</f>
        <v/>
      </c>
    </row>
    <row r="106" customFormat="false" ht="15" hidden="false" customHeight="false" outlineLevel="0" collapsed="false">
      <c r="B106" s="46"/>
      <c r="C106" s="32"/>
      <c r="D106" s="32"/>
      <c r="E106" s="32"/>
      <c r="F106" s="32"/>
      <c r="G106" s="32"/>
      <c r="H106" s="32"/>
      <c r="I106" s="23"/>
      <c r="J106" s="33" t="str">
        <f aca="false">IF(B106="","",J105+IF(D106="Entrada",I106,IF(D106="Saída",-I106,0)))</f>
        <v/>
      </c>
    </row>
    <row r="107" customFormat="false" ht="15" hidden="false" customHeight="false" outlineLevel="0" collapsed="false">
      <c r="B107" s="46"/>
      <c r="C107" s="32"/>
      <c r="D107" s="32"/>
      <c r="E107" s="32"/>
      <c r="F107" s="32"/>
      <c r="G107" s="32"/>
      <c r="H107" s="32"/>
      <c r="I107" s="23"/>
      <c r="J107" s="33" t="str">
        <f aca="false">IF(B107="","",J106+IF(D107="Entrada",I107,IF(D107="Saída",-I107,0)))</f>
        <v/>
      </c>
    </row>
    <row r="108" customFormat="false" ht="15" hidden="false" customHeight="false" outlineLevel="0" collapsed="false">
      <c r="B108" s="46"/>
      <c r="C108" s="32"/>
      <c r="D108" s="32"/>
      <c r="E108" s="32"/>
      <c r="F108" s="32"/>
      <c r="G108" s="32"/>
      <c r="H108" s="32"/>
      <c r="I108" s="23"/>
      <c r="J108" s="33" t="str">
        <f aca="false">IF(B108="","",J107+IF(D108="Entrada",I108,IF(D108="Saída",-I108,0)))</f>
        <v/>
      </c>
    </row>
    <row r="109" customFormat="false" ht="15" hidden="false" customHeight="false" outlineLevel="0" collapsed="false">
      <c r="B109" s="46"/>
      <c r="C109" s="32"/>
      <c r="D109" s="32"/>
      <c r="E109" s="32"/>
      <c r="F109" s="32"/>
      <c r="G109" s="32"/>
      <c r="H109" s="32"/>
      <c r="I109" s="23"/>
      <c r="J109" s="33" t="str">
        <f aca="false">IF(B109="","",J108+IF(D109="Entrada",I109,IF(D109="Saída",-I109,0)))</f>
        <v/>
      </c>
    </row>
    <row r="110" customFormat="false" ht="15" hidden="false" customHeight="false" outlineLevel="0" collapsed="false">
      <c r="B110" s="46"/>
      <c r="C110" s="32"/>
      <c r="D110" s="32"/>
      <c r="E110" s="32"/>
      <c r="F110" s="32"/>
      <c r="G110" s="32"/>
      <c r="H110" s="32"/>
      <c r="I110" s="23"/>
      <c r="J110" s="33" t="str">
        <f aca="false">IF(B110="","",J109+IF(D110="Entrada",I110,IF(D110="Saída",-I110,0)))</f>
        <v/>
      </c>
    </row>
    <row r="111" customFormat="false" ht="15" hidden="false" customHeight="false" outlineLevel="0" collapsed="false">
      <c r="B111" s="46"/>
      <c r="C111" s="32"/>
      <c r="D111" s="32"/>
      <c r="E111" s="32"/>
      <c r="F111" s="32"/>
      <c r="G111" s="32"/>
      <c r="H111" s="32"/>
      <c r="I111" s="23"/>
      <c r="J111" s="33" t="str">
        <f aca="false">IF(B111="","",J110+IF(D111="Entrada",I111,IF(D111="Saída",-I111,0)))</f>
        <v/>
      </c>
    </row>
    <row r="112" customFormat="false" ht="15" hidden="false" customHeight="false" outlineLevel="0" collapsed="false">
      <c r="B112" s="46"/>
      <c r="C112" s="32"/>
      <c r="D112" s="32"/>
      <c r="E112" s="32"/>
      <c r="F112" s="32"/>
      <c r="G112" s="32"/>
      <c r="H112" s="32"/>
      <c r="I112" s="23"/>
      <c r="J112" s="33" t="str">
        <f aca="false">IF(B112="","",J111+IF(D112="Entrada",I112,IF(D112="Saída",-I112,0)))</f>
        <v/>
      </c>
    </row>
    <row r="113" customFormat="false" ht="15" hidden="false" customHeight="false" outlineLevel="0" collapsed="false">
      <c r="B113" s="46"/>
      <c r="C113" s="32"/>
      <c r="D113" s="32"/>
      <c r="E113" s="32"/>
      <c r="F113" s="32"/>
      <c r="G113" s="32"/>
      <c r="H113" s="32"/>
      <c r="I113" s="23"/>
      <c r="J113" s="33" t="str">
        <f aca="false">IF(B113="","",J112+IF(D113="Entrada",I113,IF(D113="Saída",-I113,0)))</f>
        <v/>
      </c>
    </row>
    <row r="114" customFormat="false" ht="15" hidden="false" customHeight="false" outlineLevel="0" collapsed="false">
      <c r="B114" s="46"/>
      <c r="C114" s="32"/>
      <c r="D114" s="32"/>
      <c r="E114" s="32"/>
      <c r="F114" s="32"/>
      <c r="G114" s="32"/>
      <c r="H114" s="32"/>
      <c r="I114" s="23"/>
      <c r="J114" s="33" t="str">
        <f aca="false">IF(B114="","",J113+IF(D114="Entrada",I114,IF(D114="Saída",-I114,0)))</f>
        <v/>
      </c>
    </row>
    <row r="115" customFormat="false" ht="15" hidden="false" customHeight="false" outlineLevel="0" collapsed="false">
      <c r="B115" s="46"/>
      <c r="C115" s="32"/>
      <c r="D115" s="32"/>
      <c r="E115" s="32"/>
      <c r="F115" s="32"/>
      <c r="G115" s="32"/>
      <c r="H115" s="32"/>
      <c r="I115" s="23"/>
      <c r="J115" s="33" t="str">
        <f aca="false">IF(B115="","",J114+IF(D115="Entrada",I115,IF(D115="Saída",-I115,0)))</f>
        <v/>
      </c>
    </row>
    <row r="116" customFormat="false" ht="15" hidden="false" customHeight="false" outlineLevel="0" collapsed="false">
      <c r="B116" s="46"/>
      <c r="C116" s="32"/>
      <c r="D116" s="32"/>
      <c r="E116" s="32"/>
      <c r="F116" s="32"/>
      <c r="G116" s="32"/>
      <c r="H116" s="32"/>
      <c r="I116" s="23"/>
      <c r="J116" s="33" t="str">
        <f aca="false">IF(B116="","",J115+IF(D116="Entrada",I116,IF(D116="Saída",-I116,0)))</f>
        <v/>
      </c>
    </row>
    <row r="117" customFormat="false" ht="15" hidden="false" customHeight="false" outlineLevel="0" collapsed="false">
      <c r="B117" s="46"/>
      <c r="C117" s="32"/>
      <c r="D117" s="32"/>
      <c r="E117" s="32"/>
      <c r="F117" s="32"/>
      <c r="G117" s="32"/>
      <c r="H117" s="32"/>
      <c r="I117" s="23"/>
      <c r="J117" s="33" t="str">
        <f aca="false">IF(B117="","",J116+IF(D117="Entrada",I117,IF(D117="Saída",-I117,0)))</f>
        <v/>
      </c>
    </row>
    <row r="118" customFormat="false" ht="15" hidden="false" customHeight="false" outlineLevel="0" collapsed="false">
      <c r="B118" s="46"/>
      <c r="C118" s="32"/>
      <c r="D118" s="32"/>
      <c r="E118" s="32"/>
      <c r="F118" s="32"/>
      <c r="G118" s="32"/>
      <c r="H118" s="32"/>
      <c r="I118" s="23"/>
      <c r="J118" s="33" t="str">
        <f aca="false">IF(B118="","",J117+IF(D118="Entrada",I118,IF(D118="Saída",-I118,0)))</f>
        <v/>
      </c>
    </row>
    <row r="119" customFormat="false" ht="15" hidden="false" customHeight="false" outlineLevel="0" collapsed="false">
      <c r="B119" s="46"/>
      <c r="C119" s="32"/>
      <c r="D119" s="32"/>
      <c r="E119" s="32"/>
      <c r="F119" s="32"/>
      <c r="G119" s="32"/>
      <c r="H119" s="32"/>
      <c r="I119" s="23"/>
      <c r="J119" s="33" t="str">
        <f aca="false">IF(B119="","",J118+IF(D119="Entrada",I119,IF(D119="Saída",-I119,0)))</f>
        <v/>
      </c>
    </row>
    <row r="120" customFormat="false" ht="15" hidden="false" customHeight="false" outlineLevel="0" collapsed="false">
      <c r="B120" s="46"/>
      <c r="C120" s="32"/>
      <c r="D120" s="32"/>
      <c r="E120" s="32"/>
      <c r="F120" s="32"/>
      <c r="G120" s="32"/>
      <c r="H120" s="32"/>
      <c r="I120" s="23"/>
      <c r="J120" s="33" t="str">
        <f aca="false">IF(B120="","",J119+IF(D120="Entrada",I120,IF(D120="Saída",-I120,0)))</f>
        <v/>
      </c>
    </row>
    <row r="121" customFormat="false" ht="15" hidden="false" customHeight="false" outlineLevel="0" collapsed="false">
      <c r="B121" s="46"/>
      <c r="C121" s="32"/>
      <c r="D121" s="32"/>
      <c r="E121" s="32"/>
      <c r="F121" s="32"/>
      <c r="G121" s="32"/>
      <c r="H121" s="32"/>
      <c r="I121" s="23"/>
      <c r="J121" s="33" t="str">
        <f aca="false">IF(B121="","",J120+IF(D121="Entrada",I121,IF(D121="Saída",-I121,0)))</f>
        <v/>
      </c>
    </row>
    <row r="122" customFormat="false" ht="15" hidden="false" customHeight="false" outlineLevel="0" collapsed="false">
      <c r="B122" s="46"/>
      <c r="C122" s="32"/>
      <c r="D122" s="32"/>
      <c r="E122" s="32"/>
      <c r="F122" s="32"/>
      <c r="G122" s="32"/>
      <c r="H122" s="32"/>
      <c r="I122" s="23"/>
      <c r="J122" s="33" t="str">
        <f aca="false">IF(B122="","",J121+IF(D122="Entrada",I122,IF(D122="Saída",-I122,0)))</f>
        <v/>
      </c>
    </row>
    <row r="123" customFormat="false" ht="15" hidden="false" customHeight="false" outlineLevel="0" collapsed="false">
      <c r="B123" s="46"/>
      <c r="C123" s="32"/>
      <c r="D123" s="32"/>
      <c r="E123" s="32"/>
      <c r="F123" s="32"/>
      <c r="G123" s="32"/>
      <c r="H123" s="32"/>
      <c r="I123" s="23"/>
      <c r="J123" s="33" t="str">
        <f aca="false">IF(B123="","",J122+IF(D123="Entrada",I123,IF(D123="Saída",-I123,0)))</f>
        <v/>
      </c>
    </row>
    <row r="124" customFormat="false" ht="15" hidden="false" customHeight="false" outlineLevel="0" collapsed="false">
      <c r="B124" s="46"/>
      <c r="C124" s="32"/>
      <c r="D124" s="32"/>
      <c r="E124" s="32"/>
      <c r="F124" s="32"/>
      <c r="G124" s="32"/>
      <c r="H124" s="32"/>
      <c r="I124" s="23"/>
      <c r="J124" s="33" t="str">
        <f aca="false">IF(B124="","",J123+IF(D124="Entrada",I124,IF(D124="Saída",-I124,0)))</f>
        <v/>
      </c>
    </row>
    <row r="125" customFormat="false" ht="15" hidden="false" customHeight="false" outlineLevel="0" collapsed="false">
      <c r="B125" s="46"/>
      <c r="C125" s="32"/>
      <c r="D125" s="32"/>
      <c r="E125" s="32"/>
      <c r="F125" s="32"/>
      <c r="G125" s="32"/>
      <c r="H125" s="32"/>
      <c r="I125" s="23"/>
      <c r="J125" s="33" t="str">
        <f aca="false">IF(B125="","",J124+IF(D125="Entrada",I125,IF(D125="Saída",-I125,0)))</f>
        <v/>
      </c>
    </row>
    <row r="126" customFormat="false" ht="15" hidden="false" customHeight="false" outlineLevel="0" collapsed="false">
      <c r="B126" s="46"/>
      <c r="C126" s="32"/>
      <c r="D126" s="32"/>
      <c r="E126" s="32"/>
      <c r="F126" s="32"/>
      <c r="G126" s="32"/>
      <c r="H126" s="32"/>
      <c r="I126" s="23"/>
      <c r="J126" s="33" t="str">
        <f aca="false">IF(B126="","",J125+IF(D126="Entrada",I126,IF(D126="Saída",-I126,0)))</f>
        <v/>
      </c>
    </row>
    <row r="127" customFormat="false" ht="15" hidden="false" customHeight="false" outlineLevel="0" collapsed="false">
      <c r="B127" s="46"/>
      <c r="C127" s="32"/>
      <c r="D127" s="32"/>
      <c r="E127" s="32"/>
      <c r="F127" s="32"/>
      <c r="G127" s="32"/>
      <c r="H127" s="32"/>
      <c r="I127" s="23"/>
      <c r="J127" s="33" t="str">
        <f aca="false">IF(B127="","",J126+IF(D127="Entrada",I127,IF(D127="Saída",-I127,0)))</f>
        <v/>
      </c>
    </row>
    <row r="128" customFormat="false" ht="15" hidden="false" customHeight="false" outlineLevel="0" collapsed="false">
      <c r="B128" s="46"/>
      <c r="C128" s="32"/>
      <c r="D128" s="32"/>
      <c r="E128" s="32"/>
      <c r="F128" s="32"/>
      <c r="G128" s="32"/>
      <c r="H128" s="32"/>
      <c r="I128" s="23"/>
      <c r="J128" s="33" t="str">
        <f aca="false">IF(B128="","",J127+IF(D128="Entrada",I128,IF(D128="Saída",-I128,0)))</f>
        <v/>
      </c>
    </row>
    <row r="129" customFormat="false" ht="15" hidden="false" customHeight="false" outlineLevel="0" collapsed="false">
      <c r="B129" s="46"/>
      <c r="C129" s="32"/>
      <c r="D129" s="32"/>
      <c r="E129" s="32"/>
      <c r="F129" s="32"/>
      <c r="G129" s="32"/>
      <c r="H129" s="32"/>
      <c r="I129" s="23"/>
      <c r="J129" s="33" t="str">
        <f aca="false">IF(B129="","",J128+IF(D129="Entrada",I129,IF(D129="Saída",-I129,0)))</f>
        <v/>
      </c>
    </row>
    <row r="130" customFormat="false" ht="15" hidden="false" customHeight="false" outlineLevel="0" collapsed="false">
      <c r="B130" s="46"/>
      <c r="C130" s="32"/>
      <c r="D130" s="32"/>
      <c r="E130" s="32"/>
      <c r="F130" s="32"/>
      <c r="G130" s="32"/>
      <c r="H130" s="32"/>
      <c r="I130" s="23"/>
      <c r="J130" s="33" t="str">
        <f aca="false">IF(B130="","",J129+IF(D130="Entrada",I130,IF(D130="Saída",-I130,0)))</f>
        <v/>
      </c>
    </row>
    <row r="131" customFormat="false" ht="15" hidden="false" customHeight="false" outlineLevel="0" collapsed="false">
      <c r="B131" s="46"/>
      <c r="C131" s="32"/>
      <c r="D131" s="32"/>
      <c r="E131" s="32"/>
      <c r="F131" s="32"/>
      <c r="G131" s="32"/>
      <c r="H131" s="32"/>
      <c r="I131" s="23"/>
      <c r="J131" s="33" t="str">
        <f aca="false">IF(B131="","",J130+IF(D131="Entrada",I131,IF(D131="Saída",-I131,0)))</f>
        <v/>
      </c>
    </row>
    <row r="132" customFormat="false" ht="15" hidden="false" customHeight="false" outlineLevel="0" collapsed="false">
      <c r="B132" s="46"/>
      <c r="C132" s="32"/>
      <c r="D132" s="32"/>
      <c r="E132" s="32"/>
      <c r="F132" s="32"/>
      <c r="G132" s="32"/>
      <c r="H132" s="32"/>
      <c r="I132" s="23"/>
      <c r="J132" s="33" t="str">
        <f aca="false">IF(B132="","",J131+IF(D132="Entrada",I132,IF(D132="Saída",-I132,0)))</f>
        <v/>
      </c>
    </row>
    <row r="133" customFormat="false" ht="15" hidden="false" customHeight="false" outlineLevel="0" collapsed="false">
      <c r="B133" s="46"/>
      <c r="C133" s="32"/>
      <c r="D133" s="32"/>
      <c r="E133" s="32"/>
      <c r="F133" s="32"/>
      <c r="G133" s="32"/>
      <c r="H133" s="32"/>
      <c r="I133" s="23"/>
      <c r="J133" s="33" t="str">
        <f aca="false">IF(B133="","",J132+IF(D133="Entrada",I133,IF(D133="Saída",-I133,0)))</f>
        <v/>
      </c>
    </row>
    <row r="134" customFormat="false" ht="15" hidden="false" customHeight="false" outlineLevel="0" collapsed="false">
      <c r="B134" s="46"/>
      <c r="C134" s="32"/>
      <c r="D134" s="32"/>
      <c r="E134" s="32"/>
      <c r="F134" s="32"/>
      <c r="G134" s="32"/>
      <c r="H134" s="32"/>
      <c r="I134" s="23"/>
      <c r="J134" s="33" t="str">
        <f aca="false">IF(B134="","",J133+IF(D134="Entrada",I134,IF(D134="Saída",-I134,0)))</f>
        <v/>
      </c>
    </row>
    <row r="135" customFormat="false" ht="15" hidden="false" customHeight="false" outlineLevel="0" collapsed="false">
      <c r="B135" s="46"/>
      <c r="C135" s="32"/>
      <c r="D135" s="32"/>
      <c r="E135" s="32"/>
      <c r="F135" s="32"/>
      <c r="G135" s="32"/>
      <c r="H135" s="32"/>
      <c r="I135" s="23"/>
      <c r="J135" s="33" t="str">
        <f aca="false">IF(B135="","",J134+IF(D135="Entrada",I135,IF(D135="Saída",-I135,0)))</f>
        <v/>
      </c>
    </row>
    <row r="136" customFormat="false" ht="15" hidden="false" customHeight="false" outlineLevel="0" collapsed="false">
      <c r="B136" s="46"/>
      <c r="C136" s="32"/>
      <c r="D136" s="32"/>
      <c r="E136" s="32"/>
      <c r="F136" s="32"/>
      <c r="G136" s="32"/>
      <c r="H136" s="32"/>
      <c r="I136" s="23"/>
      <c r="J136" s="33" t="str">
        <f aca="false">IF(B136="","",J135+IF(D136="Entrada",I136,IF(D136="Saída",-I136,0)))</f>
        <v/>
      </c>
    </row>
    <row r="137" customFormat="false" ht="15" hidden="false" customHeight="false" outlineLevel="0" collapsed="false">
      <c r="B137" s="46"/>
      <c r="C137" s="32"/>
      <c r="D137" s="32"/>
      <c r="E137" s="32"/>
      <c r="F137" s="32"/>
      <c r="G137" s="32"/>
      <c r="H137" s="32"/>
      <c r="I137" s="23"/>
      <c r="J137" s="33" t="str">
        <f aca="false">IF(B137="","",J136+IF(D137="Entrada",I137,IF(D137="Saída",-I137,0)))</f>
        <v/>
      </c>
    </row>
    <row r="138" customFormat="false" ht="15" hidden="false" customHeight="false" outlineLevel="0" collapsed="false">
      <c r="B138" s="46"/>
      <c r="C138" s="32"/>
      <c r="D138" s="32"/>
      <c r="E138" s="32"/>
      <c r="F138" s="32"/>
      <c r="G138" s="32"/>
      <c r="H138" s="32"/>
      <c r="I138" s="23"/>
      <c r="J138" s="33" t="str">
        <f aca="false">IF(B138="","",J137+IF(D138="Entrada",I138,IF(D138="Saída",-I138,0)))</f>
        <v/>
      </c>
    </row>
    <row r="139" customFormat="false" ht="15" hidden="false" customHeight="false" outlineLevel="0" collapsed="false">
      <c r="B139" s="46"/>
      <c r="C139" s="32"/>
      <c r="D139" s="32"/>
      <c r="E139" s="32"/>
      <c r="F139" s="32"/>
      <c r="G139" s="32"/>
      <c r="H139" s="32"/>
      <c r="I139" s="23"/>
      <c r="J139" s="33" t="str">
        <f aca="false">IF(B139="","",J138+IF(D139="Entrada",I139,IF(D139="Saída",-I139,0)))</f>
        <v/>
      </c>
    </row>
    <row r="140" customFormat="false" ht="15" hidden="false" customHeight="false" outlineLevel="0" collapsed="false">
      <c r="B140" s="46"/>
      <c r="C140" s="32"/>
      <c r="D140" s="32"/>
      <c r="E140" s="32"/>
      <c r="F140" s="32"/>
      <c r="G140" s="32"/>
      <c r="H140" s="32"/>
      <c r="I140" s="23"/>
      <c r="J140" s="33" t="str">
        <f aca="false">IF(B140="","",J139+IF(D140="Entrada",I140,IF(D140="Saída",-I140,0)))</f>
        <v/>
      </c>
    </row>
    <row r="141" customFormat="false" ht="15" hidden="false" customHeight="false" outlineLevel="0" collapsed="false">
      <c r="B141" s="46"/>
      <c r="C141" s="32"/>
      <c r="D141" s="32"/>
      <c r="E141" s="32"/>
      <c r="F141" s="32"/>
      <c r="G141" s="32"/>
      <c r="H141" s="32"/>
      <c r="I141" s="23"/>
      <c r="J141" s="33" t="str">
        <f aca="false">IF(B141="","",J140+IF(D141="Entrada",I141,IF(D141="Saída",-I141,0)))</f>
        <v/>
      </c>
    </row>
    <row r="142" customFormat="false" ht="15" hidden="false" customHeight="false" outlineLevel="0" collapsed="false">
      <c r="B142" s="46"/>
      <c r="C142" s="32"/>
      <c r="D142" s="32"/>
      <c r="E142" s="32"/>
      <c r="F142" s="32"/>
      <c r="G142" s="32"/>
      <c r="H142" s="32"/>
      <c r="I142" s="23"/>
      <c r="J142" s="33" t="str">
        <f aca="false">IF(B142="","",J141+IF(D142="Entrada",I142,IF(D142="Saída",-I142,0)))</f>
        <v/>
      </c>
    </row>
    <row r="143" customFormat="false" ht="15" hidden="false" customHeight="false" outlineLevel="0" collapsed="false">
      <c r="B143" s="46"/>
      <c r="C143" s="32"/>
      <c r="D143" s="32"/>
      <c r="E143" s="32"/>
      <c r="F143" s="32"/>
      <c r="G143" s="32"/>
      <c r="H143" s="32"/>
      <c r="I143" s="23"/>
      <c r="J143" s="33" t="str">
        <f aca="false">IF(B143="","",J142+IF(D143="Entrada",I143,IF(D143="Saída",-I143,0)))</f>
        <v/>
      </c>
    </row>
    <row r="144" customFormat="false" ht="15" hidden="false" customHeight="false" outlineLevel="0" collapsed="false">
      <c r="B144" s="46"/>
      <c r="C144" s="32"/>
      <c r="D144" s="32"/>
      <c r="E144" s="32"/>
      <c r="F144" s="32"/>
      <c r="G144" s="32"/>
      <c r="H144" s="32"/>
      <c r="I144" s="23"/>
      <c r="J144" s="33" t="str">
        <f aca="false">IF(B144="","",J143+IF(D144="Entrada",I144,IF(D144="Saída",-I144,0)))</f>
        <v/>
      </c>
    </row>
    <row r="145" customFormat="false" ht="15" hidden="false" customHeight="false" outlineLevel="0" collapsed="false">
      <c r="B145" s="46"/>
      <c r="C145" s="32"/>
      <c r="D145" s="32"/>
      <c r="E145" s="32"/>
      <c r="F145" s="32"/>
      <c r="G145" s="32"/>
      <c r="H145" s="32"/>
      <c r="I145" s="23"/>
      <c r="J145" s="33" t="str">
        <f aca="false">IF(B145="","",J144+IF(D145="Entrada",I145,IF(D145="Saída",-I145,0)))</f>
        <v/>
      </c>
    </row>
    <row r="146" customFormat="false" ht="15" hidden="false" customHeight="false" outlineLevel="0" collapsed="false">
      <c r="B146" s="46"/>
      <c r="C146" s="32"/>
      <c r="D146" s="32"/>
      <c r="E146" s="32"/>
      <c r="F146" s="32"/>
      <c r="G146" s="32"/>
      <c r="H146" s="32"/>
      <c r="I146" s="23"/>
      <c r="J146" s="33" t="str">
        <f aca="false">IF(B146="","",J145+IF(D146="Entrada",I146,IF(D146="Saída",-I146,0)))</f>
        <v/>
      </c>
    </row>
    <row r="147" customFormat="false" ht="15" hidden="false" customHeight="false" outlineLevel="0" collapsed="false">
      <c r="B147" s="46"/>
      <c r="C147" s="32"/>
      <c r="D147" s="32"/>
      <c r="E147" s="32"/>
      <c r="F147" s="32"/>
      <c r="G147" s="32"/>
      <c r="H147" s="32"/>
      <c r="I147" s="23"/>
      <c r="J147" s="33" t="str">
        <f aca="false">IF(B147="","",J146+IF(D147="Entrada",I147,IF(D147="Saída",-I147,0)))</f>
        <v/>
      </c>
    </row>
    <row r="148" customFormat="false" ht="15" hidden="false" customHeight="false" outlineLevel="0" collapsed="false">
      <c r="B148" s="46"/>
      <c r="C148" s="32"/>
      <c r="D148" s="32"/>
      <c r="E148" s="32"/>
      <c r="F148" s="32"/>
      <c r="G148" s="32"/>
      <c r="H148" s="32"/>
      <c r="I148" s="23"/>
      <c r="J148" s="33" t="str">
        <f aca="false">IF(B148="","",J147+IF(D148="Entrada",I148,IF(D148="Saída",-I148,0)))</f>
        <v/>
      </c>
    </row>
    <row r="149" customFormat="false" ht="15" hidden="false" customHeight="false" outlineLevel="0" collapsed="false">
      <c r="B149" s="46"/>
      <c r="C149" s="32"/>
      <c r="D149" s="32"/>
      <c r="E149" s="32"/>
      <c r="F149" s="32"/>
      <c r="G149" s="32"/>
      <c r="H149" s="32"/>
      <c r="I149" s="23"/>
      <c r="J149" s="33" t="str">
        <f aca="false">IF(B149="","",J148+IF(D149="Entrada",I149,IF(D149="Saída",-I149,0)))</f>
        <v/>
      </c>
    </row>
    <row r="150" customFormat="false" ht="15" hidden="false" customHeight="false" outlineLevel="0" collapsed="false">
      <c r="B150" s="46"/>
      <c r="C150" s="32"/>
      <c r="D150" s="32"/>
      <c r="E150" s="32"/>
      <c r="F150" s="32"/>
      <c r="G150" s="32"/>
      <c r="H150" s="32"/>
      <c r="I150" s="23"/>
      <c r="J150" s="33" t="str">
        <f aca="false">IF(B150="","",J149+IF(D150="Entrada",I150,IF(D150="Saída",-I150,0)))</f>
        <v/>
      </c>
    </row>
    <row r="151" customFormat="false" ht="15" hidden="false" customHeight="false" outlineLevel="0" collapsed="false">
      <c r="B151" s="46"/>
      <c r="C151" s="32"/>
      <c r="D151" s="32"/>
      <c r="E151" s="32"/>
      <c r="F151" s="32"/>
      <c r="G151" s="32"/>
      <c r="H151" s="32"/>
      <c r="I151" s="23"/>
      <c r="J151" s="33" t="str">
        <f aca="false">IF(B151="","",J150+IF(D151="Entrada",I151,IF(D151="Saída",-I151,0)))</f>
        <v/>
      </c>
    </row>
    <row r="152" customFormat="false" ht="15" hidden="false" customHeight="false" outlineLevel="0" collapsed="false">
      <c r="B152" s="46"/>
      <c r="C152" s="32"/>
      <c r="D152" s="32"/>
      <c r="E152" s="32"/>
      <c r="F152" s="32"/>
      <c r="G152" s="32"/>
      <c r="H152" s="32"/>
      <c r="I152" s="23"/>
      <c r="J152" s="33" t="str">
        <f aca="false">IF(B152="","",J151+IF(D152="Entrada",I152,IF(D152="Saída",-I152,0)))</f>
        <v/>
      </c>
    </row>
    <row r="153" customFormat="false" ht="15" hidden="false" customHeight="false" outlineLevel="0" collapsed="false">
      <c r="B153" s="46"/>
      <c r="C153" s="32"/>
      <c r="D153" s="32"/>
      <c r="E153" s="32"/>
      <c r="F153" s="32"/>
      <c r="G153" s="32"/>
      <c r="H153" s="32"/>
      <c r="I153" s="23"/>
      <c r="J153" s="33" t="str">
        <f aca="false">IF(B153="","",J152+IF(D153="Entrada",I153,IF(D153="Saída",-I153,0)))</f>
        <v/>
      </c>
    </row>
    <row r="154" customFormat="false" ht="15" hidden="false" customHeight="false" outlineLevel="0" collapsed="false">
      <c r="B154" s="46"/>
      <c r="C154" s="32"/>
      <c r="D154" s="32"/>
      <c r="E154" s="32"/>
      <c r="F154" s="32"/>
      <c r="G154" s="32"/>
      <c r="H154" s="32"/>
      <c r="I154" s="23"/>
      <c r="J154" s="33" t="str">
        <f aca="false">IF(B154="","",J153+IF(D154="Entrada",I154,IF(D154="Saída",-I154,0)))</f>
        <v/>
      </c>
    </row>
    <row r="155" customFormat="false" ht="15" hidden="false" customHeight="false" outlineLevel="0" collapsed="false">
      <c r="B155" s="46"/>
      <c r="C155" s="32"/>
      <c r="D155" s="32"/>
      <c r="E155" s="32"/>
      <c r="F155" s="32"/>
      <c r="G155" s="32"/>
      <c r="H155" s="32"/>
      <c r="I155" s="23"/>
      <c r="J155" s="33" t="str">
        <f aca="false">IF(B155="","",J154+IF(D155="Entrada",I155,IF(D155="Saída",-I155,0)))</f>
        <v/>
      </c>
    </row>
    <row r="156" customFormat="false" ht="15" hidden="false" customHeight="false" outlineLevel="0" collapsed="false">
      <c r="B156" s="46"/>
      <c r="C156" s="32"/>
      <c r="D156" s="32"/>
      <c r="E156" s="32"/>
      <c r="F156" s="32"/>
      <c r="G156" s="32"/>
      <c r="H156" s="32"/>
      <c r="I156" s="23"/>
      <c r="J156" s="33" t="str">
        <f aca="false">IF(B156="","",J155+IF(D156="Entrada",I156,IF(D156="Saída",-I156,0)))</f>
        <v/>
      </c>
    </row>
    <row r="157" customFormat="false" ht="15" hidden="false" customHeight="false" outlineLevel="0" collapsed="false">
      <c r="B157" s="46"/>
      <c r="C157" s="32"/>
      <c r="D157" s="32"/>
      <c r="E157" s="32"/>
      <c r="F157" s="32"/>
      <c r="G157" s="32"/>
      <c r="H157" s="32"/>
      <c r="I157" s="23"/>
      <c r="J157" s="33" t="str">
        <f aca="false">IF(B157="","",J156+IF(D157="Entrada",I157,IF(D157="Saída",-I157,0)))</f>
        <v/>
      </c>
    </row>
    <row r="158" customFormat="false" ht="15" hidden="false" customHeight="false" outlineLevel="0" collapsed="false">
      <c r="B158" s="46"/>
      <c r="C158" s="32"/>
      <c r="D158" s="32"/>
      <c r="E158" s="32"/>
      <c r="F158" s="32"/>
      <c r="G158" s="32"/>
      <c r="H158" s="32"/>
      <c r="I158" s="23"/>
      <c r="J158" s="33" t="str">
        <f aca="false">IF(B158="","",J157+IF(D158="Entrada",I158,IF(D158="Saída",-I158,0)))</f>
        <v/>
      </c>
    </row>
    <row r="159" customFormat="false" ht="15" hidden="false" customHeight="false" outlineLevel="0" collapsed="false">
      <c r="B159" s="46"/>
      <c r="C159" s="32"/>
      <c r="D159" s="32"/>
      <c r="E159" s="32"/>
      <c r="F159" s="32"/>
      <c r="G159" s="32"/>
      <c r="H159" s="32"/>
      <c r="I159" s="23"/>
      <c r="J159" s="33" t="str">
        <f aca="false">IF(B159="","",J158+IF(D159="Entrada",I159,IF(D159="Saída",-I159,0)))</f>
        <v/>
      </c>
    </row>
    <row r="160" customFormat="false" ht="15" hidden="false" customHeight="false" outlineLevel="0" collapsed="false">
      <c r="B160" s="46"/>
      <c r="C160" s="32"/>
      <c r="D160" s="32"/>
      <c r="E160" s="32"/>
      <c r="F160" s="32"/>
      <c r="G160" s="32"/>
      <c r="H160" s="32"/>
      <c r="I160" s="23"/>
      <c r="J160" s="33" t="str">
        <f aca="false">IF(B160="","",J159+IF(D160="Entrada",I160,IF(D160="Saída",-I160,0)))</f>
        <v/>
      </c>
    </row>
    <row r="161" customFormat="false" ht="15" hidden="false" customHeight="false" outlineLevel="0" collapsed="false">
      <c r="B161" s="46"/>
      <c r="C161" s="32"/>
      <c r="D161" s="32"/>
      <c r="E161" s="32"/>
      <c r="F161" s="32"/>
      <c r="G161" s="32"/>
      <c r="H161" s="32"/>
      <c r="I161" s="23"/>
      <c r="J161" s="33" t="str">
        <f aca="false">IF(B161="","",J160+IF(D161="Entrada",I161,IF(D161="Saída",-I161,0)))</f>
        <v/>
      </c>
    </row>
    <row r="162" customFormat="false" ht="15" hidden="false" customHeight="false" outlineLevel="0" collapsed="false">
      <c r="B162" s="46"/>
      <c r="C162" s="32"/>
      <c r="D162" s="32"/>
      <c r="E162" s="32"/>
      <c r="F162" s="32"/>
      <c r="G162" s="32"/>
      <c r="H162" s="32"/>
      <c r="I162" s="23"/>
      <c r="J162" s="33" t="str">
        <f aca="false">IF(B162="","",J161+IF(D162="Entrada",I162,IF(D162="Saída",-I162,0)))</f>
        <v/>
      </c>
    </row>
    <row r="163" customFormat="false" ht="15" hidden="false" customHeight="false" outlineLevel="0" collapsed="false">
      <c r="B163" s="46"/>
      <c r="C163" s="32"/>
      <c r="D163" s="32"/>
      <c r="E163" s="32"/>
      <c r="F163" s="32"/>
      <c r="G163" s="32"/>
      <c r="H163" s="32"/>
      <c r="I163" s="23"/>
      <c r="J163" s="33" t="str">
        <f aca="false">IF(B163="","",J162+IF(D163="Entrada",I163,IF(D163="Saída",-I163,0)))</f>
        <v/>
      </c>
    </row>
    <row r="164" customFormat="false" ht="15" hidden="false" customHeight="false" outlineLevel="0" collapsed="false">
      <c r="B164" s="46"/>
      <c r="C164" s="32"/>
      <c r="D164" s="32"/>
      <c r="E164" s="32"/>
      <c r="F164" s="32"/>
      <c r="G164" s="32"/>
      <c r="H164" s="32"/>
      <c r="I164" s="23"/>
      <c r="J164" s="33" t="str">
        <f aca="false">IF(B164="","",J163+IF(D164="Entrada",I164,IF(D164="Saída",-I164,0)))</f>
        <v/>
      </c>
    </row>
    <row r="165" customFormat="false" ht="15" hidden="false" customHeight="false" outlineLevel="0" collapsed="false">
      <c r="B165" s="46"/>
      <c r="C165" s="32"/>
      <c r="D165" s="32"/>
      <c r="E165" s="32"/>
      <c r="F165" s="32"/>
      <c r="G165" s="32"/>
      <c r="H165" s="32"/>
      <c r="I165" s="23"/>
      <c r="J165" s="33" t="str">
        <f aca="false">IF(B165="","",J164+IF(D165="Entrada",I165,IF(D165="Saída",-I165,0)))</f>
        <v/>
      </c>
    </row>
    <row r="166" customFormat="false" ht="15" hidden="false" customHeight="false" outlineLevel="0" collapsed="false">
      <c r="B166" s="46"/>
      <c r="C166" s="32"/>
      <c r="D166" s="32"/>
      <c r="E166" s="32"/>
      <c r="F166" s="32"/>
      <c r="G166" s="32"/>
      <c r="H166" s="32"/>
      <c r="I166" s="23"/>
      <c r="J166" s="33" t="str">
        <f aca="false">IF(B166="","",J165+IF(D166="Entrada",I166,IF(D166="Saída",-I166,0)))</f>
        <v/>
      </c>
    </row>
    <row r="167" customFormat="false" ht="15" hidden="false" customHeight="false" outlineLevel="0" collapsed="false">
      <c r="B167" s="46"/>
      <c r="C167" s="32"/>
      <c r="D167" s="32"/>
      <c r="E167" s="32"/>
      <c r="F167" s="32"/>
      <c r="G167" s="32"/>
      <c r="H167" s="32"/>
      <c r="I167" s="23"/>
      <c r="J167" s="33" t="str">
        <f aca="false">IF(B167="","",J166+IF(D167="Entrada",I167,IF(D167="Saída",-I167,0)))</f>
        <v/>
      </c>
    </row>
    <row r="168" customFormat="false" ht="15" hidden="false" customHeight="false" outlineLevel="0" collapsed="false">
      <c r="B168" s="46"/>
      <c r="C168" s="32"/>
      <c r="D168" s="32"/>
      <c r="E168" s="32"/>
      <c r="F168" s="32"/>
      <c r="G168" s="32"/>
      <c r="H168" s="32"/>
      <c r="I168" s="23"/>
      <c r="J168" s="33" t="str">
        <f aca="false">IF(B168="","",J167+IF(D168="Entrada",I168,IF(D168="Saída",-I168,0)))</f>
        <v/>
      </c>
    </row>
    <row r="169" customFormat="false" ht="15" hidden="false" customHeight="false" outlineLevel="0" collapsed="false">
      <c r="B169" s="46"/>
      <c r="C169" s="32"/>
      <c r="D169" s="32"/>
      <c r="E169" s="32"/>
      <c r="F169" s="32"/>
      <c r="G169" s="32"/>
      <c r="H169" s="32"/>
      <c r="I169" s="23"/>
      <c r="J169" s="33" t="str">
        <f aca="false">IF(B169="","",J168+IF(D169="Entrada",I169,IF(D169="Saída",-I169,0)))</f>
        <v/>
      </c>
    </row>
    <row r="170" customFormat="false" ht="15" hidden="false" customHeight="false" outlineLevel="0" collapsed="false">
      <c r="B170" s="46"/>
      <c r="C170" s="32"/>
      <c r="D170" s="32"/>
      <c r="E170" s="32"/>
      <c r="F170" s="32"/>
      <c r="G170" s="32"/>
      <c r="H170" s="32"/>
      <c r="I170" s="23"/>
      <c r="J170" s="33" t="str">
        <f aca="false">IF(B170="","",J169+IF(D170="Entrada",I170,IF(D170="Saída",-I170,0)))</f>
        <v/>
      </c>
    </row>
    <row r="171" customFormat="false" ht="15" hidden="false" customHeight="false" outlineLevel="0" collapsed="false">
      <c r="B171" s="46"/>
      <c r="C171" s="32"/>
      <c r="D171" s="32"/>
      <c r="E171" s="32"/>
      <c r="F171" s="32"/>
      <c r="G171" s="32"/>
      <c r="H171" s="32"/>
      <c r="I171" s="23"/>
      <c r="J171" s="33" t="str">
        <f aca="false">IF(B171="","",J170+IF(D171="Entrada",I171,IF(D171="Saída",-I171,0)))</f>
        <v/>
      </c>
    </row>
    <row r="172" customFormat="false" ht="15" hidden="false" customHeight="false" outlineLevel="0" collapsed="false">
      <c r="B172" s="46"/>
      <c r="C172" s="32"/>
      <c r="D172" s="32"/>
      <c r="E172" s="32"/>
      <c r="F172" s="32"/>
      <c r="G172" s="32"/>
      <c r="H172" s="32"/>
      <c r="I172" s="23"/>
      <c r="J172" s="33" t="str">
        <f aca="false">IF(B172="","",J171+IF(D172="Entrada",I172,IF(D172="Saída",-I172,0)))</f>
        <v/>
      </c>
    </row>
    <row r="173" customFormat="false" ht="15" hidden="false" customHeight="false" outlineLevel="0" collapsed="false">
      <c r="B173" s="46"/>
      <c r="C173" s="32"/>
      <c r="D173" s="32"/>
      <c r="E173" s="32"/>
      <c r="F173" s="32"/>
      <c r="G173" s="32"/>
      <c r="H173" s="32"/>
      <c r="I173" s="23"/>
      <c r="J173" s="33" t="str">
        <f aca="false">IF(B173="","",J172+IF(D173="Entrada",I173,IF(D173="Saída",-I173,0)))</f>
        <v/>
      </c>
    </row>
    <row r="174" customFormat="false" ht="15" hidden="false" customHeight="false" outlineLevel="0" collapsed="false">
      <c r="B174" s="46"/>
      <c r="C174" s="32"/>
      <c r="D174" s="32"/>
      <c r="E174" s="32"/>
      <c r="F174" s="32"/>
      <c r="G174" s="32"/>
      <c r="H174" s="32"/>
      <c r="I174" s="23"/>
      <c r="J174" s="33" t="str">
        <f aca="false">IF(B174="","",J173+IF(D174="Entrada",I174,IF(D174="Saída",-I174,0)))</f>
        <v/>
      </c>
    </row>
    <row r="175" customFormat="false" ht="15" hidden="false" customHeight="false" outlineLevel="0" collapsed="false">
      <c r="B175" s="46"/>
      <c r="C175" s="32"/>
      <c r="D175" s="32"/>
      <c r="E175" s="32"/>
      <c r="F175" s="32"/>
      <c r="G175" s="32"/>
      <c r="H175" s="32"/>
      <c r="I175" s="23"/>
      <c r="J175" s="33" t="str">
        <f aca="false">IF(B175="","",J174+IF(D175="Entrada",I175,IF(D175="Saída",-I175,0)))</f>
        <v/>
      </c>
    </row>
    <row r="176" customFormat="false" ht="15" hidden="false" customHeight="false" outlineLevel="0" collapsed="false">
      <c r="B176" s="46"/>
      <c r="C176" s="32"/>
      <c r="D176" s="32"/>
      <c r="E176" s="32"/>
      <c r="F176" s="32"/>
      <c r="G176" s="32"/>
      <c r="H176" s="32"/>
      <c r="I176" s="23"/>
      <c r="J176" s="33" t="str">
        <f aca="false">IF(B176="","",J175+IF(D176="Entrada",I176,IF(D176="Saída",-I176,0)))</f>
        <v/>
      </c>
    </row>
    <row r="177" customFormat="false" ht="15" hidden="false" customHeight="false" outlineLevel="0" collapsed="false">
      <c r="B177" s="46"/>
      <c r="C177" s="32"/>
      <c r="D177" s="32"/>
      <c r="E177" s="32"/>
      <c r="F177" s="32"/>
      <c r="G177" s="32"/>
      <c r="H177" s="32"/>
      <c r="I177" s="23"/>
      <c r="J177" s="33" t="str">
        <f aca="false">IF(B177="","",J176+IF(D177="Entrada",I177,IF(D177="Saída",-I177,0)))</f>
        <v/>
      </c>
    </row>
    <row r="178" customFormat="false" ht="15" hidden="false" customHeight="false" outlineLevel="0" collapsed="false">
      <c r="B178" s="46"/>
      <c r="C178" s="32"/>
      <c r="D178" s="32"/>
      <c r="E178" s="32"/>
      <c r="F178" s="32"/>
      <c r="G178" s="32"/>
      <c r="H178" s="32"/>
      <c r="I178" s="23"/>
      <c r="J178" s="33" t="str">
        <f aca="false">IF(B178="","",J177+IF(D178="Entrada",I178,IF(D178="Saída",-I178,0)))</f>
        <v/>
      </c>
    </row>
    <row r="179" customFormat="false" ht="15" hidden="false" customHeight="false" outlineLevel="0" collapsed="false">
      <c r="B179" s="46"/>
      <c r="C179" s="32"/>
      <c r="D179" s="32"/>
      <c r="E179" s="32"/>
      <c r="F179" s="32"/>
      <c r="G179" s="32"/>
      <c r="H179" s="32"/>
      <c r="I179" s="23"/>
      <c r="J179" s="33" t="str">
        <f aca="false">IF(B179="","",J178+IF(D179="Entrada",I179,IF(D179="Saída",-I179,0)))</f>
        <v/>
      </c>
    </row>
    <row r="180" customFormat="false" ht="15" hidden="false" customHeight="false" outlineLevel="0" collapsed="false">
      <c r="B180" s="46"/>
      <c r="C180" s="32"/>
      <c r="D180" s="32"/>
      <c r="E180" s="32"/>
      <c r="F180" s="32"/>
      <c r="G180" s="32"/>
      <c r="H180" s="32"/>
      <c r="I180" s="23"/>
      <c r="J180" s="33" t="str">
        <f aca="false">IF(B180="","",J179+IF(D180="Entrada",I180,IF(D180="Saída",-I180,0)))</f>
        <v/>
      </c>
    </row>
    <row r="181" customFormat="false" ht="15" hidden="false" customHeight="false" outlineLevel="0" collapsed="false">
      <c r="B181" s="46"/>
      <c r="C181" s="32"/>
      <c r="D181" s="32"/>
      <c r="E181" s="32"/>
      <c r="F181" s="32"/>
      <c r="G181" s="32"/>
      <c r="H181" s="32"/>
      <c r="I181" s="23"/>
      <c r="J181" s="33" t="str">
        <f aca="false">IF(B181="","",J180+IF(D181="Entrada",I181,IF(D181="Saída",-I181,0)))</f>
        <v/>
      </c>
    </row>
    <row r="182" customFormat="false" ht="15" hidden="false" customHeight="false" outlineLevel="0" collapsed="false">
      <c r="B182" s="46"/>
      <c r="C182" s="32"/>
      <c r="D182" s="32"/>
      <c r="E182" s="32"/>
      <c r="F182" s="32"/>
      <c r="G182" s="32"/>
      <c r="H182" s="32"/>
      <c r="I182" s="23"/>
      <c r="J182" s="33" t="str">
        <f aca="false">IF(B182="","",J181+IF(D182="Entrada",I182,IF(D182="Saída",-I182,0)))</f>
        <v/>
      </c>
    </row>
    <row r="183" customFormat="false" ht="15" hidden="false" customHeight="false" outlineLevel="0" collapsed="false">
      <c r="B183" s="46"/>
      <c r="C183" s="32"/>
      <c r="D183" s="32"/>
      <c r="E183" s="32"/>
      <c r="F183" s="32"/>
      <c r="G183" s="32"/>
      <c r="H183" s="32"/>
      <c r="I183" s="23"/>
      <c r="J183" s="33" t="str">
        <f aca="false">IF(B183="","",J182+IF(D183="Entrada",I183,IF(D183="Saída",-I183,0)))</f>
        <v/>
      </c>
    </row>
    <row r="184" customFormat="false" ht="15" hidden="false" customHeight="false" outlineLevel="0" collapsed="false">
      <c r="B184" s="46"/>
      <c r="C184" s="32"/>
      <c r="D184" s="32"/>
      <c r="E184" s="32"/>
      <c r="F184" s="32"/>
      <c r="G184" s="32"/>
      <c r="H184" s="32"/>
      <c r="I184" s="23"/>
      <c r="J184" s="33" t="str">
        <f aca="false">IF(B184="","",J183+IF(D184="Entrada",I184,IF(D184="Saída",-I184,0)))</f>
        <v/>
      </c>
    </row>
    <row r="185" customFormat="false" ht="15" hidden="false" customHeight="false" outlineLevel="0" collapsed="false">
      <c r="B185" s="46"/>
      <c r="C185" s="32"/>
      <c r="D185" s="32"/>
      <c r="E185" s="32"/>
      <c r="F185" s="32"/>
      <c r="G185" s="32"/>
      <c r="H185" s="32"/>
      <c r="I185" s="23"/>
      <c r="J185" s="33" t="str">
        <f aca="false">IF(B185="","",J184+IF(D185="Entrada",I185,IF(D185="Saída",-I185,0)))</f>
        <v/>
      </c>
    </row>
    <row r="186" customFormat="false" ht="15" hidden="false" customHeight="false" outlineLevel="0" collapsed="false">
      <c r="B186" s="46"/>
      <c r="C186" s="32"/>
      <c r="D186" s="32"/>
      <c r="E186" s="32"/>
      <c r="F186" s="32"/>
      <c r="G186" s="32"/>
      <c r="H186" s="32"/>
      <c r="I186" s="23"/>
      <c r="J186" s="33" t="str">
        <f aca="false">IF(B186="","",J185+IF(D186="Entrada",I186,IF(D186="Saída",-I186,0)))</f>
        <v/>
      </c>
    </row>
    <row r="187" customFormat="false" ht="15" hidden="false" customHeight="false" outlineLevel="0" collapsed="false">
      <c r="B187" s="46"/>
      <c r="C187" s="32"/>
      <c r="D187" s="32"/>
      <c r="E187" s="32"/>
      <c r="F187" s="32"/>
      <c r="G187" s="32"/>
      <c r="H187" s="32"/>
      <c r="I187" s="23"/>
      <c r="J187" s="33" t="str">
        <f aca="false">IF(B187="","",J186+IF(D187="Entrada",I187,IF(D187="Saída",-I187,0)))</f>
        <v/>
      </c>
    </row>
    <row r="188" customFormat="false" ht="15" hidden="false" customHeight="false" outlineLevel="0" collapsed="false">
      <c r="B188" s="46"/>
      <c r="C188" s="32"/>
      <c r="D188" s="32"/>
      <c r="E188" s="32"/>
      <c r="F188" s="32"/>
      <c r="G188" s="32"/>
      <c r="H188" s="32"/>
      <c r="I188" s="23"/>
      <c r="J188" s="33" t="str">
        <f aca="false">IF(B188="","",J187+IF(D188="Entrada",I188,IF(D188="Saída",-I188,0)))</f>
        <v/>
      </c>
    </row>
    <row r="189" customFormat="false" ht="15" hidden="false" customHeight="false" outlineLevel="0" collapsed="false">
      <c r="B189" s="46"/>
      <c r="C189" s="32"/>
      <c r="D189" s="32"/>
      <c r="E189" s="32"/>
      <c r="F189" s="32"/>
      <c r="G189" s="32"/>
      <c r="H189" s="32"/>
      <c r="I189" s="23"/>
      <c r="J189" s="33" t="str">
        <f aca="false">IF(B189="","",J188+IF(D189="Entrada",I189,IF(D189="Saída",-I189,0)))</f>
        <v/>
      </c>
    </row>
    <row r="190" customFormat="false" ht="15" hidden="false" customHeight="false" outlineLevel="0" collapsed="false">
      <c r="B190" s="46"/>
      <c r="C190" s="32"/>
      <c r="D190" s="32"/>
      <c r="E190" s="32"/>
      <c r="F190" s="32"/>
      <c r="G190" s="32"/>
      <c r="H190" s="32"/>
      <c r="I190" s="23"/>
      <c r="J190" s="33" t="str">
        <f aca="false">IF(B190="","",J189+IF(D190="Entrada",I190,IF(D190="Saída",-I190,0)))</f>
        <v/>
      </c>
    </row>
    <row r="191" customFormat="false" ht="15" hidden="false" customHeight="false" outlineLevel="0" collapsed="false">
      <c r="B191" s="46"/>
      <c r="C191" s="32"/>
      <c r="D191" s="32"/>
      <c r="E191" s="32"/>
      <c r="F191" s="32"/>
      <c r="G191" s="32"/>
      <c r="H191" s="32"/>
      <c r="I191" s="23"/>
      <c r="J191" s="33" t="str">
        <f aca="false">IF(B191="","",J190+IF(D191="Entrada",I191,IF(D191="Saída",-I191,0)))</f>
        <v/>
      </c>
    </row>
    <row r="192" customFormat="false" ht="15" hidden="false" customHeight="false" outlineLevel="0" collapsed="false">
      <c r="B192" s="46"/>
      <c r="C192" s="32"/>
      <c r="D192" s="32"/>
      <c r="E192" s="32"/>
      <c r="F192" s="32"/>
      <c r="G192" s="32"/>
      <c r="H192" s="32"/>
      <c r="I192" s="23"/>
      <c r="J192" s="33" t="str">
        <f aca="false">IF(B192="","",J191+IF(D192="Entrada",I192,IF(D192="Saída",-I192,0)))</f>
        <v/>
      </c>
    </row>
    <row r="193" customFormat="false" ht="15" hidden="false" customHeight="false" outlineLevel="0" collapsed="false">
      <c r="B193" s="46"/>
      <c r="C193" s="32"/>
      <c r="D193" s="32"/>
      <c r="E193" s="32"/>
      <c r="F193" s="32"/>
      <c r="G193" s="32"/>
      <c r="H193" s="32"/>
      <c r="I193" s="23"/>
      <c r="J193" s="33" t="str">
        <f aca="false">IF(B193="","",J192+IF(D193="Entrada",I193,IF(D193="Saída",-I193,0)))</f>
        <v/>
      </c>
    </row>
    <row r="194" customFormat="false" ht="15" hidden="false" customHeight="false" outlineLevel="0" collapsed="false">
      <c r="B194" s="46"/>
      <c r="C194" s="32"/>
      <c r="D194" s="32"/>
      <c r="E194" s="32"/>
      <c r="F194" s="32"/>
      <c r="G194" s="32"/>
      <c r="H194" s="32"/>
      <c r="I194" s="23"/>
      <c r="J194" s="33" t="str">
        <f aca="false">IF(B194="","",J193+IF(D194="Entrada",I194,IF(D194="Saída",-I194,0)))</f>
        <v/>
      </c>
    </row>
    <row r="195" customFormat="false" ht="15" hidden="false" customHeight="false" outlineLevel="0" collapsed="false">
      <c r="B195" s="46"/>
      <c r="C195" s="32"/>
      <c r="D195" s="32"/>
      <c r="E195" s="32"/>
      <c r="F195" s="32"/>
      <c r="G195" s="32"/>
      <c r="H195" s="32"/>
      <c r="I195" s="23"/>
      <c r="J195" s="33" t="str">
        <f aca="false">IF(B195="","",J194+IF(D195="Entrada",I195,IF(D195="Saída",-I195,0)))</f>
        <v/>
      </c>
    </row>
    <row r="196" customFormat="false" ht="15" hidden="false" customHeight="false" outlineLevel="0" collapsed="false">
      <c r="B196" s="46"/>
      <c r="C196" s="32"/>
      <c r="D196" s="32"/>
      <c r="E196" s="32"/>
      <c r="F196" s="32"/>
      <c r="G196" s="32"/>
      <c r="H196" s="32"/>
      <c r="I196" s="23"/>
      <c r="J196" s="33" t="str">
        <f aca="false">IF(B196="","",J195+IF(D196="Entrada",I196,IF(D196="Saída",-I196,0)))</f>
        <v/>
      </c>
    </row>
    <row r="197" customFormat="false" ht="15" hidden="false" customHeight="false" outlineLevel="0" collapsed="false">
      <c r="B197" s="46"/>
      <c r="C197" s="32"/>
      <c r="D197" s="32"/>
      <c r="E197" s="32"/>
      <c r="F197" s="32"/>
      <c r="G197" s="32"/>
      <c r="H197" s="32"/>
      <c r="I197" s="23"/>
      <c r="J197" s="33" t="str">
        <f aca="false">IF(B197="","",J196+IF(D197="Entrada",I197,IF(D197="Saída",-I197,0)))</f>
        <v/>
      </c>
    </row>
    <row r="198" customFormat="false" ht="15" hidden="false" customHeight="false" outlineLevel="0" collapsed="false">
      <c r="B198" s="46"/>
      <c r="C198" s="32"/>
      <c r="D198" s="32"/>
      <c r="E198" s="32"/>
      <c r="F198" s="32"/>
      <c r="G198" s="32"/>
      <c r="H198" s="32"/>
      <c r="I198" s="23"/>
      <c r="J198" s="33" t="str">
        <f aca="false">IF(B198="","",J197+IF(D198="Entrada",I198,IF(D198="Saída",-I198,0)))</f>
        <v/>
      </c>
    </row>
    <row r="199" customFormat="false" ht="15" hidden="false" customHeight="false" outlineLevel="0" collapsed="false">
      <c r="B199" s="46"/>
      <c r="C199" s="32"/>
      <c r="D199" s="32"/>
      <c r="E199" s="32"/>
      <c r="F199" s="32"/>
      <c r="G199" s="32"/>
      <c r="H199" s="32"/>
      <c r="I199" s="23"/>
      <c r="J199" s="33" t="str">
        <f aca="false">IF(B199="","",J198+IF(D199="Entrada",I199,IF(D199="Saída",-I199,0)))</f>
        <v/>
      </c>
    </row>
    <row r="200" customFormat="false" ht="15" hidden="false" customHeight="false" outlineLevel="0" collapsed="false">
      <c r="B200" s="46"/>
      <c r="C200" s="32"/>
      <c r="D200" s="32"/>
      <c r="E200" s="32"/>
      <c r="F200" s="32"/>
      <c r="G200" s="32"/>
      <c r="H200" s="32"/>
      <c r="I200" s="23"/>
      <c r="J200" s="33" t="str">
        <f aca="false">IF(B200="","",J199+IF(D200="Entrada",I200,IF(D200="Saída",-I200,0)))</f>
        <v/>
      </c>
    </row>
    <row r="201" customFormat="false" ht="15" hidden="false" customHeight="false" outlineLevel="0" collapsed="false">
      <c r="B201" s="46"/>
      <c r="C201" s="32"/>
      <c r="D201" s="32"/>
      <c r="E201" s="32"/>
      <c r="F201" s="32"/>
      <c r="G201" s="32"/>
      <c r="H201" s="32"/>
      <c r="I201" s="23"/>
      <c r="J201" s="33" t="str">
        <f aca="false">IF(B201="","",J200+IF(D201="Entrada",I201,IF(D201="Saída",-I201,0)))</f>
        <v/>
      </c>
    </row>
    <row r="202" customFormat="false" ht="15" hidden="false" customHeight="false" outlineLevel="0" collapsed="false">
      <c r="B202" s="46"/>
      <c r="C202" s="32"/>
      <c r="D202" s="32"/>
      <c r="E202" s="32"/>
      <c r="F202" s="32"/>
      <c r="G202" s="32"/>
      <c r="H202" s="32"/>
      <c r="I202" s="23"/>
      <c r="J202" s="33" t="str">
        <f aca="false">IF(B202="","",J201+IF(D202="Entrada",I202,IF(D202="Saída",-I202,0)))</f>
        <v/>
      </c>
    </row>
    <row r="203" customFormat="false" ht="15" hidden="false" customHeight="false" outlineLevel="0" collapsed="false">
      <c r="B203" s="46"/>
      <c r="C203" s="32"/>
      <c r="D203" s="32"/>
      <c r="E203" s="32"/>
      <c r="F203" s="32"/>
      <c r="G203" s="32"/>
      <c r="H203" s="32"/>
      <c r="I203" s="23"/>
      <c r="J203" s="33" t="str">
        <f aca="false">IF(B203="","",J202+IF(D203="Entrada",I203,IF(D203="Saída",-I203,0)))</f>
        <v/>
      </c>
    </row>
    <row r="204" customFormat="false" ht="15" hidden="false" customHeight="false" outlineLevel="0" collapsed="false">
      <c r="B204" s="46"/>
      <c r="C204" s="32"/>
      <c r="D204" s="32"/>
      <c r="E204" s="32"/>
      <c r="F204" s="32"/>
      <c r="G204" s="32"/>
      <c r="H204" s="32"/>
      <c r="I204" s="23"/>
      <c r="J204" s="33" t="str">
        <f aca="false">IF(B204="","",J203+IF(D204="Entrada",I204,IF(D204="Saída",-I204,0)))</f>
        <v/>
      </c>
    </row>
    <row r="205" customFormat="false" ht="15" hidden="false" customHeight="false" outlineLevel="0" collapsed="false">
      <c r="B205" s="46"/>
      <c r="C205" s="32"/>
      <c r="D205" s="32"/>
      <c r="E205" s="32"/>
      <c r="F205" s="32"/>
      <c r="G205" s="32"/>
      <c r="H205" s="32"/>
      <c r="I205" s="23"/>
      <c r="J205" s="33" t="str">
        <f aca="false">IF(B205="","",J204+IF(D205="Entrada",I205,IF(D205="Saída",-I205,0)))</f>
        <v/>
      </c>
    </row>
    <row r="206" customFormat="false" ht="15" hidden="false" customHeight="false" outlineLevel="0" collapsed="false">
      <c r="B206" s="46"/>
      <c r="C206" s="32"/>
      <c r="D206" s="32"/>
      <c r="E206" s="32"/>
      <c r="F206" s="32"/>
      <c r="G206" s="32"/>
      <c r="H206" s="32"/>
      <c r="I206" s="23"/>
      <c r="J206" s="33" t="str">
        <f aca="false">IF(B206="","",J205+IF(D206="Entrada",I206,IF(D206="Saída",-I206,0)))</f>
        <v/>
      </c>
    </row>
    <row r="207" customFormat="false" ht="15" hidden="false" customHeight="false" outlineLevel="0" collapsed="false">
      <c r="B207" s="46"/>
      <c r="C207" s="32"/>
      <c r="D207" s="32"/>
      <c r="E207" s="32"/>
      <c r="F207" s="32"/>
      <c r="G207" s="32"/>
      <c r="H207" s="32"/>
      <c r="I207" s="23"/>
      <c r="J207" s="33" t="str">
        <f aca="false">IF(B207="","",J206+IF(D207="Entrada",I207,IF(D207="Saída",-I207,0)))</f>
        <v/>
      </c>
    </row>
  </sheetData>
  <mergeCells count="2">
    <mergeCell ref="B2:K2"/>
    <mergeCell ref="B3:K3"/>
  </mergeCells>
  <conditionalFormatting sqref="D8:D207">
    <cfRule type="expression" priority="2" aboveAverage="0" equalAverage="0" bottom="0" percent="0" rank="0" text="" dxfId="1">
      <formula>$D8="Entrada"</formula>
    </cfRule>
    <cfRule type="expression" priority="3" aboveAverage="0" equalAverage="0" bottom="0" percent="0" rank="0" text="" dxfId="0">
      <formula>$D8="Saída"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15" min="3" style="0" width="13"/>
  </cols>
  <sheetData>
    <row r="2" customFormat="false" ht="22.05" hidden="false" customHeight="false" outlineLevel="0" collapsed="false">
      <c r="B2" s="38" t="s">
        <v>197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customFormat="false" ht="15" hidden="false" customHeight="false" outlineLevel="0" collapsed="false">
      <c r="B3" s="39" t="s">
        <v>198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5" customFormat="false" ht="15" hidden="false" customHeight="false" outlineLevel="0" collapsed="false">
      <c r="B5" s="47" t="s">
        <v>199</v>
      </c>
      <c r="C5" s="48" t="n">
        <v>2026</v>
      </c>
    </row>
    <row r="7" customFormat="false" ht="24.75" hidden="false" customHeight="true" outlineLevel="0" collapsed="false">
      <c r="B7" s="21" t="s">
        <v>177</v>
      </c>
      <c r="C7" s="21" t="s">
        <v>200</v>
      </c>
      <c r="D7" s="21" t="s">
        <v>201</v>
      </c>
      <c r="E7" s="21" t="s">
        <v>202</v>
      </c>
      <c r="F7" s="21" t="s">
        <v>203</v>
      </c>
      <c r="G7" s="21" t="s">
        <v>204</v>
      </c>
      <c r="H7" s="21" t="s">
        <v>205</v>
      </c>
      <c r="I7" s="21" t="s">
        <v>206</v>
      </c>
      <c r="J7" s="21" t="s">
        <v>207</v>
      </c>
      <c r="K7" s="21" t="s">
        <v>208</v>
      </c>
      <c r="L7" s="21" t="s">
        <v>209</v>
      </c>
      <c r="M7" s="21" t="s">
        <v>210</v>
      </c>
      <c r="N7" s="21" t="s">
        <v>211</v>
      </c>
      <c r="O7" s="21" t="s">
        <v>212</v>
      </c>
    </row>
    <row r="8" customFormat="false" ht="21.75" hidden="false" customHeight="true" outlineLevel="0" collapsed="false">
      <c r="B8" s="49" t="s">
        <v>213</v>
      </c>
      <c r="C8" s="50" t="n">
        <f aca="false">SUMPRODUCT(('💰 Fluxo de Caixa'!$E$8:$E$207="Receita Bruta")*(MONTH('💰 Fluxo de Caixa'!$B$8:$B$207)=1)*(YEAR('💰 Fluxo de Caixa'!$B$8:$B$207)=$C$5)*'💰 Fluxo de Caixa'!$I$8:$I$207)</f>
        <v>0</v>
      </c>
      <c r="D8" s="50" t="n">
        <f aca="false">SUMPRODUCT(('💰 Fluxo de Caixa'!$E$8:$E$207="Receita Bruta")*(MONTH('💰 Fluxo de Caixa'!$B$8:$B$207)=2)*(YEAR('💰 Fluxo de Caixa'!$B$8:$B$207)=$C$5)*'💰 Fluxo de Caixa'!$I$8:$I$207)</f>
        <v>0</v>
      </c>
      <c r="E8" s="50" t="n">
        <f aca="false">SUMPRODUCT(('💰 Fluxo de Caixa'!$E$8:$E$207="Receita Bruta")*(MONTH('💰 Fluxo de Caixa'!$B$8:$B$207)=3)*(YEAR('💰 Fluxo de Caixa'!$B$8:$B$207)=$C$5)*'💰 Fluxo de Caixa'!$I$8:$I$207)</f>
        <v>0</v>
      </c>
      <c r="F8" s="50" t="n">
        <f aca="false">SUMPRODUCT(('💰 Fluxo de Caixa'!$E$8:$E$207="Receita Bruta")*(MONTH('💰 Fluxo de Caixa'!$B$8:$B$207)=4)*(YEAR('💰 Fluxo de Caixa'!$B$8:$B$207)=$C$5)*'💰 Fluxo de Caixa'!$I$8:$I$207)</f>
        <v>18420</v>
      </c>
      <c r="G8" s="50" t="n">
        <f aca="false">SUMPRODUCT(('💰 Fluxo de Caixa'!$E$8:$E$207="Receita Bruta")*(MONTH('💰 Fluxo de Caixa'!$B$8:$B$207)=5)*(YEAR('💰 Fluxo de Caixa'!$B$8:$B$207)=$C$5)*'💰 Fluxo de Caixa'!$I$8:$I$207)</f>
        <v>0</v>
      </c>
      <c r="H8" s="50" t="n">
        <f aca="false">SUMPRODUCT(('💰 Fluxo de Caixa'!$E$8:$E$207="Receita Bruta")*(MONTH('💰 Fluxo de Caixa'!$B$8:$B$207)=6)*(YEAR('💰 Fluxo de Caixa'!$B$8:$B$207)=$C$5)*'💰 Fluxo de Caixa'!$I$8:$I$207)</f>
        <v>0</v>
      </c>
      <c r="I8" s="50" t="n">
        <f aca="false">SUMPRODUCT(('💰 Fluxo de Caixa'!$E$8:$E$207="Receita Bruta")*(MONTH('💰 Fluxo de Caixa'!$B$8:$B$207)=7)*(YEAR('💰 Fluxo de Caixa'!$B$8:$B$207)=$C$5)*'💰 Fluxo de Caixa'!$I$8:$I$207)</f>
        <v>0</v>
      </c>
      <c r="J8" s="50" t="n">
        <f aca="false">SUMPRODUCT(('💰 Fluxo de Caixa'!$E$8:$E$207="Receita Bruta")*(MONTH('💰 Fluxo de Caixa'!$B$8:$B$207)=8)*(YEAR('💰 Fluxo de Caixa'!$B$8:$B$207)=$C$5)*'💰 Fluxo de Caixa'!$I$8:$I$207)</f>
        <v>0</v>
      </c>
      <c r="K8" s="50" t="n">
        <f aca="false">SUMPRODUCT(('💰 Fluxo de Caixa'!$E$8:$E$207="Receita Bruta")*(MONTH('💰 Fluxo de Caixa'!$B$8:$B$207)=9)*(YEAR('💰 Fluxo de Caixa'!$B$8:$B$207)=$C$5)*'💰 Fluxo de Caixa'!$I$8:$I$207)</f>
        <v>0</v>
      </c>
      <c r="L8" s="50" t="n">
        <f aca="false">SUMPRODUCT(('💰 Fluxo de Caixa'!$E$8:$E$207="Receita Bruta")*(MONTH('💰 Fluxo de Caixa'!$B$8:$B$207)=10)*(YEAR('💰 Fluxo de Caixa'!$B$8:$B$207)=$C$5)*'💰 Fluxo de Caixa'!$I$8:$I$207)</f>
        <v>0</v>
      </c>
      <c r="M8" s="50" t="n">
        <f aca="false">SUMPRODUCT(('💰 Fluxo de Caixa'!$E$8:$E$207="Receita Bruta")*(MONTH('💰 Fluxo de Caixa'!$B$8:$B$207)=11)*(YEAR('💰 Fluxo de Caixa'!$B$8:$B$207)=$C$5)*'💰 Fluxo de Caixa'!$I$8:$I$207)</f>
        <v>0</v>
      </c>
      <c r="N8" s="50" t="n">
        <f aca="false">SUMPRODUCT(('💰 Fluxo de Caixa'!$E$8:$E$207="Receita Bruta")*(MONTH('💰 Fluxo de Caixa'!$B$8:$B$207)=12)*(YEAR('💰 Fluxo de Caixa'!$B$8:$B$207)=$C$5)*'💰 Fluxo de Caixa'!$I$8:$I$207)</f>
        <v>0</v>
      </c>
      <c r="O8" s="50" t="n">
        <f aca="false">SUM(C8:N8)</f>
        <v>18420</v>
      </c>
    </row>
    <row r="9" customFormat="false" ht="15" hidden="false" customHeight="false" outlineLevel="0" collapsed="false">
      <c r="B9" s="51" t="s">
        <v>214</v>
      </c>
      <c r="C9" s="52" t="n">
        <f aca="false">SUMPRODUCT(('💰 Fluxo de Caixa'!$F$8:$F$207="Vendas - Loja Própria")*(MONTH('💰 Fluxo de Caixa'!$B$8:$B$207)=1)*(YEAR('💰 Fluxo de Caixa'!$B$8:$B$207)=$C$5)*'💰 Fluxo de Caixa'!$I$8:$I$207)</f>
        <v>0</v>
      </c>
      <c r="D9" s="52" t="n">
        <f aca="false">SUMPRODUCT(('💰 Fluxo de Caixa'!$F$8:$F$207="Vendas - Loja Própria")*(MONTH('💰 Fluxo de Caixa'!$B$8:$B$207)=2)*(YEAR('💰 Fluxo de Caixa'!$B$8:$B$207)=$C$5)*'💰 Fluxo de Caixa'!$I$8:$I$207)</f>
        <v>0</v>
      </c>
      <c r="E9" s="52" t="n">
        <f aca="false">SUMPRODUCT(('💰 Fluxo de Caixa'!$F$8:$F$207="Vendas - Loja Própria")*(MONTH('💰 Fluxo de Caixa'!$B$8:$B$207)=3)*(YEAR('💰 Fluxo de Caixa'!$B$8:$B$207)=$C$5)*'💰 Fluxo de Caixa'!$I$8:$I$207)</f>
        <v>0</v>
      </c>
      <c r="F9" s="52" t="n">
        <f aca="false">SUMPRODUCT(('💰 Fluxo de Caixa'!$F$8:$F$207="Vendas - Loja Própria")*(MONTH('💰 Fluxo de Caixa'!$B$8:$B$207)=4)*(YEAR('💰 Fluxo de Caixa'!$B$8:$B$207)=$C$5)*'💰 Fluxo de Caixa'!$I$8:$I$207)</f>
        <v>10460</v>
      </c>
      <c r="G9" s="52" t="n">
        <f aca="false">SUMPRODUCT(('💰 Fluxo de Caixa'!$F$8:$F$207="Vendas - Loja Própria")*(MONTH('💰 Fluxo de Caixa'!$B$8:$B$207)=5)*(YEAR('💰 Fluxo de Caixa'!$B$8:$B$207)=$C$5)*'💰 Fluxo de Caixa'!$I$8:$I$207)</f>
        <v>0</v>
      </c>
      <c r="H9" s="52" t="n">
        <f aca="false">SUMPRODUCT(('💰 Fluxo de Caixa'!$F$8:$F$207="Vendas - Loja Própria")*(MONTH('💰 Fluxo de Caixa'!$B$8:$B$207)=6)*(YEAR('💰 Fluxo de Caixa'!$B$8:$B$207)=$C$5)*'💰 Fluxo de Caixa'!$I$8:$I$207)</f>
        <v>0</v>
      </c>
      <c r="I9" s="52" t="n">
        <f aca="false">SUMPRODUCT(('💰 Fluxo de Caixa'!$F$8:$F$207="Vendas - Loja Própria")*(MONTH('💰 Fluxo de Caixa'!$B$8:$B$207)=7)*(YEAR('💰 Fluxo de Caixa'!$B$8:$B$207)=$C$5)*'💰 Fluxo de Caixa'!$I$8:$I$207)</f>
        <v>0</v>
      </c>
      <c r="J9" s="52" t="n">
        <f aca="false">SUMPRODUCT(('💰 Fluxo de Caixa'!$F$8:$F$207="Vendas - Loja Própria")*(MONTH('💰 Fluxo de Caixa'!$B$8:$B$207)=8)*(YEAR('💰 Fluxo de Caixa'!$B$8:$B$207)=$C$5)*'💰 Fluxo de Caixa'!$I$8:$I$207)</f>
        <v>0</v>
      </c>
      <c r="K9" s="52" t="n">
        <f aca="false">SUMPRODUCT(('💰 Fluxo de Caixa'!$F$8:$F$207="Vendas - Loja Própria")*(MONTH('💰 Fluxo de Caixa'!$B$8:$B$207)=9)*(YEAR('💰 Fluxo de Caixa'!$B$8:$B$207)=$C$5)*'💰 Fluxo de Caixa'!$I$8:$I$207)</f>
        <v>0</v>
      </c>
      <c r="L9" s="52" t="n">
        <f aca="false">SUMPRODUCT(('💰 Fluxo de Caixa'!$F$8:$F$207="Vendas - Loja Própria")*(MONTH('💰 Fluxo de Caixa'!$B$8:$B$207)=10)*(YEAR('💰 Fluxo de Caixa'!$B$8:$B$207)=$C$5)*'💰 Fluxo de Caixa'!$I$8:$I$207)</f>
        <v>0</v>
      </c>
      <c r="M9" s="52" t="n">
        <f aca="false">SUMPRODUCT(('💰 Fluxo de Caixa'!$F$8:$F$207="Vendas - Loja Própria")*(MONTH('💰 Fluxo de Caixa'!$B$8:$B$207)=11)*(YEAR('💰 Fluxo de Caixa'!$B$8:$B$207)=$C$5)*'💰 Fluxo de Caixa'!$I$8:$I$207)</f>
        <v>0</v>
      </c>
      <c r="N9" s="52" t="n">
        <f aca="false">SUMPRODUCT(('💰 Fluxo de Caixa'!$F$8:$F$207="Vendas - Loja Própria")*(MONTH('💰 Fluxo de Caixa'!$B$8:$B$207)=12)*(YEAR('💰 Fluxo de Caixa'!$B$8:$B$207)=$C$5)*'💰 Fluxo de Caixa'!$I$8:$I$207)</f>
        <v>0</v>
      </c>
      <c r="O9" s="53" t="n">
        <f aca="false">SUM(C9:N9)</f>
        <v>10460</v>
      </c>
    </row>
    <row r="10" customFormat="false" ht="15" hidden="false" customHeight="false" outlineLevel="0" collapsed="false">
      <c r="B10" s="51" t="s">
        <v>215</v>
      </c>
      <c r="C10" s="52" t="n">
        <f aca="false">SUMPRODUCT(('💰 Fluxo de Caixa'!$F$8:$F$207="Vendas - Mercado Livre")*(MONTH('💰 Fluxo de Caixa'!$B$8:$B$207)=1)*(YEAR('💰 Fluxo de Caixa'!$B$8:$B$207)=$C$5)*'💰 Fluxo de Caixa'!$I$8:$I$207)</f>
        <v>0</v>
      </c>
      <c r="D10" s="52" t="n">
        <f aca="false">SUMPRODUCT(('💰 Fluxo de Caixa'!$F$8:$F$207="Vendas - Mercado Livre")*(MONTH('💰 Fluxo de Caixa'!$B$8:$B$207)=2)*(YEAR('💰 Fluxo de Caixa'!$B$8:$B$207)=$C$5)*'💰 Fluxo de Caixa'!$I$8:$I$207)</f>
        <v>0</v>
      </c>
      <c r="E10" s="52" t="n">
        <f aca="false">SUMPRODUCT(('💰 Fluxo de Caixa'!$F$8:$F$207="Vendas - Mercado Livre")*(MONTH('💰 Fluxo de Caixa'!$B$8:$B$207)=3)*(YEAR('💰 Fluxo de Caixa'!$B$8:$B$207)=$C$5)*'💰 Fluxo de Caixa'!$I$8:$I$207)</f>
        <v>0</v>
      </c>
      <c r="F10" s="52" t="n">
        <f aca="false">SUMPRODUCT(('💰 Fluxo de Caixa'!$F$8:$F$207="Vendas - Mercado Livre")*(MONTH('💰 Fluxo de Caixa'!$B$8:$B$207)=4)*(YEAR('💰 Fluxo de Caixa'!$B$8:$B$207)=$C$5)*'💰 Fluxo de Caixa'!$I$8:$I$207)</f>
        <v>6310</v>
      </c>
      <c r="G10" s="52" t="n">
        <f aca="false">SUMPRODUCT(('💰 Fluxo de Caixa'!$F$8:$F$207="Vendas - Mercado Livre")*(MONTH('💰 Fluxo de Caixa'!$B$8:$B$207)=5)*(YEAR('💰 Fluxo de Caixa'!$B$8:$B$207)=$C$5)*'💰 Fluxo de Caixa'!$I$8:$I$207)</f>
        <v>0</v>
      </c>
      <c r="H10" s="52" t="n">
        <f aca="false">SUMPRODUCT(('💰 Fluxo de Caixa'!$F$8:$F$207="Vendas - Mercado Livre")*(MONTH('💰 Fluxo de Caixa'!$B$8:$B$207)=6)*(YEAR('💰 Fluxo de Caixa'!$B$8:$B$207)=$C$5)*'💰 Fluxo de Caixa'!$I$8:$I$207)</f>
        <v>0</v>
      </c>
      <c r="I10" s="52" t="n">
        <f aca="false">SUMPRODUCT(('💰 Fluxo de Caixa'!$F$8:$F$207="Vendas - Mercado Livre")*(MONTH('💰 Fluxo de Caixa'!$B$8:$B$207)=7)*(YEAR('💰 Fluxo de Caixa'!$B$8:$B$207)=$C$5)*'💰 Fluxo de Caixa'!$I$8:$I$207)</f>
        <v>0</v>
      </c>
      <c r="J10" s="52" t="n">
        <f aca="false">SUMPRODUCT(('💰 Fluxo de Caixa'!$F$8:$F$207="Vendas - Mercado Livre")*(MONTH('💰 Fluxo de Caixa'!$B$8:$B$207)=8)*(YEAR('💰 Fluxo de Caixa'!$B$8:$B$207)=$C$5)*'💰 Fluxo de Caixa'!$I$8:$I$207)</f>
        <v>0</v>
      </c>
      <c r="K10" s="52" t="n">
        <f aca="false">SUMPRODUCT(('💰 Fluxo de Caixa'!$F$8:$F$207="Vendas - Mercado Livre")*(MONTH('💰 Fluxo de Caixa'!$B$8:$B$207)=9)*(YEAR('💰 Fluxo de Caixa'!$B$8:$B$207)=$C$5)*'💰 Fluxo de Caixa'!$I$8:$I$207)</f>
        <v>0</v>
      </c>
      <c r="L10" s="52" t="n">
        <f aca="false">SUMPRODUCT(('💰 Fluxo de Caixa'!$F$8:$F$207="Vendas - Mercado Livre")*(MONTH('💰 Fluxo de Caixa'!$B$8:$B$207)=10)*(YEAR('💰 Fluxo de Caixa'!$B$8:$B$207)=$C$5)*'💰 Fluxo de Caixa'!$I$8:$I$207)</f>
        <v>0</v>
      </c>
      <c r="M10" s="52" t="n">
        <f aca="false">SUMPRODUCT(('💰 Fluxo de Caixa'!$F$8:$F$207="Vendas - Mercado Livre")*(MONTH('💰 Fluxo de Caixa'!$B$8:$B$207)=11)*(YEAR('💰 Fluxo de Caixa'!$B$8:$B$207)=$C$5)*'💰 Fluxo de Caixa'!$I$8:$I$207)</f>
        <v>0</v>
      </c>
      <c r="N10" s="52" t="n">
        <f aca="false">SUMPRODUCT(('💰 Fluxo de Caixa'!$F$8:$F$207="Vendas - Mercado Livre")*(MONTH('💰 Fluxo de Caixa'!$B$8:$B$207)=12)*(YEAR('💰 Fluxo de Caixa'!$B$8:$B$207)=$C$5)*'💰 Fluxo de Caixa'!$I$8:$I$207)</f>
        <v>0</v>
      </c>
      <c r="O10" s="53" t="n">
        <f aca="false">SUM(C10:N10)</f>
        <v>6310</v>
      </c>
    </row>
    <row r="11" customFormat="false" ht="15" hidden="false" customHeight="false" outlineLevel="0" collapsed="false">
      <c r="B11" s="51" t="s">
        <v>216</v>
      </c>
      <c r="C11" s="52" t="n">
        <f aca="false">SUMPRODUCT(('💰 Fluxo de Caixa'!$F$8:$F$207="Vendas - Shopee")*(MONTH('💰 Fluxo de Caixa'!$B$8:$B$207)=1)*(YEAR('💰 Fluxo de Caixa'!$B$8:$B$207)=$C$5)*'💰 Fluxo de Caixa'!$I$8:$I$207)</f>
        <v>0</v>
      </c>
      <c r="D11" s="52" t="n">
        <f aca="false">SUMPRODUCT(('💰 Fluxo de Caixa'!$F$8:$F$207="Vendas - Shopee")*(MONTH('💰 Fluxo de Caixa'!$B$8:$B$207)=2)*(YEAR('💰 Fluxo de Caixa'!$B$8:$B$207)=$C$5)*'💰 Fluxo de Caixa'!$I$8:$I$207)</f>
        <v>0</v>
      </c>
      <c r="E11" s="52" t="n">
        <f aca="false">SUMPRODUCT(('💰 Fluxo de Caixa'!$F$8:$F$207="Vendas - Shopee")*(MONTH('💰 Fluxo de Caixa'!$B$8:$B$207)=3)*(YEAR('💰 Fluxo de Caixa'!$B$8:$B$207)=$C$5)*'💰 Fluxo de Caixa'!$I$8:$I$207)</f>
        <v>0</v>
      </c>
      <c r="F11" s="52" t="n">
        <f aca="false">SUMPRODUCT(('💰 Fluxo de Caixa'!$F$8:$F$207="Vendas - Shopee")*(MONTH('💰 Fluxo de Caixa'!$B$8:$B$207)=4)*(YEAR('💰 Fluxo de Caixa'!$B$8:$B$207)=$C$5)*'💰 Fluxo de Caixa'!$I$8:$I$207)</f>
        <v>1650</v>
      </c>
      <c r="G11" s="52" t="n">
        <f aca="false">SUMPRODUCT(('💰 Fluxo de Caixa'!$F$8:$F$207="Vendas - Shopee")*(MONTH('💰 Fluxo de Caixa'!$B$8:$B$207)=5)*(YEAR('💰 Fluxo de Caixa'!$B$8:$B$207)=$C$5)*'💰 Fluxo de Caixa'!$I$8:$I$207)</f>
        <v>0</v>
      </c>
      <c r="H11" s="52" t="n">
        <f aca="false">SUMPRODUCT(('💰 Fluxo de Caixa'!$F$8:$F$207="Vendas - Shopee")*(MONTH('💰 Fluxo de Caixa'!$B$8:$B$207)=6)*(YEAR('💰 Fluxo de Caixa'!$B$8:$B$207)=$C$5)*'💰 Fluxo de Caixa'!$I$8:$I$207)</f>
        <v>0</v>
      </c>
      <c r="I11" s="52" t="n">
        <f aca="false">SUMPRODUCT(('💰 Fluxo de Caixa'!$F$8:$F$207="Vendas - Shopee")*(MONTH('💰 Fluxo de Caixa'!$B$8:$B$207)=7)*(YEAR('💰 Fluxo de Caixa'!$B$8:$B$207)=$C$5)*'💰 Fluxo de Caixa'!$I$8:$I$207)</f>
        <v>0</v>
      </c>
      <c r="J11" s="52" t="n">
        <f aca="false">SUMPRODUCT(('💰 Fluxo de Caixa'!$F$8:$F$207="Vendas - Shopee")*(MONTH('💰 Fluxo de Caixa'!$B$8:$B$207)=8)*(YEAR('💰 Fluxo de Caixa'!$B$8:$B$207)=$C$5)*'💰 Fluxo de Caixa'!$I$8:$I$207)</f>
        <v>0</v>
      </c>
      <c r="K11" s="52" t="n">
        <f aca="false">SUMPRODUCT(('💰 Fluxo de Caixa'!$F$8:$F$207="Vendas - Shopee")*(MONTH('💰 Fluxo de Caixa'!$B$8:$B$207)=9)*(YEAR('💰 Fluxo de Caixa'!$B$8:$B$207)=$C$5)*'💰 Fluxo de Caixa'!$I$8:$I$207)</f>
        <v>0</v>
      </c>
      <c r="L11" s="52" t="n">
        <f aca="false">SUMPRODUCT(('💰 Fluxo de Caixa'!$F$8:$F$207="Vendas - Shopee")*(MONTH('💰 Fluxo de Caixa'!$B$8:$B$207)=10)*(YEAR('💰 Fluxo de Caixa'!$B$8:$B$207)=$C$5)*'💰 Fluxo de Caixa'!$I$8:$I$207)</f>
        <v>0</v>
      </c>
      <c r="M11" s="52" t="n">
        <f aca="false">SUMPRODUCT(('💰 Fluxo de Caixa'!$F$8:$F$207="Vendas - Shopee")*(MONTH('💰 Fluxo de Caixa'!$B$8:$B$207)=11)*(YEAR('💰 Fluxo de Caixa'!$B$8:$B$207)=$C$5)*'💰 Fluxo de Caixa'!$I$8:$I$207)</f>
        <v>0</v>
      </c>
      <c r="N11" s="52" t="n">
        <f aca="false">SUMPRODUCT(('💰 Fluxo de Caixa'!$F$8:$F$207="Vendas - Shopee")*(MONTH('💰 Fluxo de Caixa'!$B$8:$B$207)=12)*(YEAR('💰 Fluxo de Caixa'!$B$8:$B$207)=$C$5)*'💰 Fluxo de Caixa'!$I$8:$I$207)</f>
        <v>0</v>
      </c>
      <c r="O11" s="53" t="n">
        <f aca="false">SUM(C11:N11)</f>
        <v>1650</v>
      </c>
    </row>
    <row r="12" customFormat="false" ht="15" hidden="false" customHeight="false" outlineLevel="0" collapsed="false">
      <c r="B12" s="51" t="s">
        <v>217</v>
      </c>
      <c r="C12" s="52" t="n">
        <f aca="false">SUMPRODUCT(('💰 Fluxo de Caixa'!$F$8:$F$207="Vendas - Outros Marketplaces")*(MONTH('💰 Fluxo de Caixa'!$B$8:$B$207)=1)*(YEAR('💰 Fluxo de Caixa'!$B$8:$B$207)=$C$5)*'💰 Fluxo de Caixa'!$I$8:$I$207)</f>
        <v>0</v>
      </c>
      <c r="D12" s="52" t="n">
        <f aca="false">SUMPRODUCT(('💰 Fluxo de Caixa'!$F$8:$F$207="Vendas - Outros Marketplaces")*(MONTH('💰 Fluxo de Caixa'!$B$8:$B$207)=2)*(YEAR('💰 Fluxo de Caixa'!$B$8:$B$207)=$C$5)*'💰 Fluxo de Caixa'!$I$8:$I$207)</f>
        <v>0</v>
      </c>
      <c r="E12" s="52" t="n">
        <f aca="false">SUMPRODUCT(('💰 Fluxo de Caixa'!$F$8:$F$207="Vendas - Outros Marketplaces")*(MONTH('💰 Fluxo de Caixa'!$B$8:$B$207)=3)*(YEAR('💰 Fluxo de Caixa'!$B$8:$B$207)=$C$5)*'💰 Fluxo de Caixa'!$I$8:$I$207)</f>
        <v>0</v>
      </c>
      <c r="F12" s="52" t="n">
        <f aca="false">SUMPRODUCT(('💰 Fluxo de Caixa'!$F$8:$F$207="Vendas - Outros Marketplaces")*(MONTH('💰 Fluxo de Caixa'!$B$8:$B$207)=4)*(YEAR('💰 Fluxo de Caixa'!$B$8:$B$207)=$C$5)*'💰 Fluxo de Caixa'!$I$8:$I$207)</f>
        <v>0</v>
      </c>
      <c r="G12" s="52" t="n">
        <f aca="false">SUMPRODUCT(('💰 Fluxo de Caixa'!$F$8:$F$207="Vendas - Outros Marketplaces")*(MONTH('💰 Fluxo de Caixa'!$B$8:$B$207)=5)*(YEAR('💰 Fluxo de Caixa'!$B$8:$B$207)=$C$5)*'💰 Fluxo de Caixa'!$I$8:$I$207)</f>
        <v>0</v>
      </c>
      <c r="H12" s="52" t="n">
        <f aca="false">SUMPRODUCT(('💰 Fluxo de Caixa'!$F$8:$F$207="Vendas - Outros Marketplaces")*(MONTH('💰 Fluxo de Caixa'!$B$8:$B$207)=6)*(YEAR('💰 Fluxo de Caixa'!$B$8:$B$207)=$C$5)*'💰 Fluxo de Caixa'!$I$8:$I$207)</f>
        <v>0</v>
      </c>
      <c r="I12" s="52" t="n">
        <f aca="false">SUMPRODUCT(('💰 Fluxo de Caixa'!$F$8:$F$207="Vendas - Outros Marketplaces")*(MONTH('💰 Fluxo de Caixa'!$B$8:$B$207)=7)*(YEAR('💰 Fluxo de Caixa'!$B$8:$B$207)=$C$5)*'💰 Fluxo de Caixa'!$I$8:$I$207)</f>
        <v>0</v>
      </c>
      <c r="J12" s="52" t="n">
        <f aca="false">SUMPRODUCT(('💰 Fluxo de Caixa'!$F$8:$F$207="Vendas - Outros Marketplaces")*(MONTH('💰 Fluxo de Caixa'!$B$8:$B$207)=8)*(YEAR('💰 Fluxo de Caixa'!$B$8:$B$207)=$C$5)*'💰 Fluxo de Caixa'!$I$8:$I$207)</f>
        <v>0</v>
      </c>
      <c r="K12" s="52" t="n">
        <f aca="false">SUMPRODUCT(('💰 Fluxo de Caixa'!$F$8:$F$207="Vendas - Outros Marketplaces")*(MONTH('💰 Fluxo de Caixa'!$B$8:$B$207)=9)*(YEAR('💰 Fluxo de Caixa'!$B$8:$B$207)=$C$5)*'💰 Fluxo de Caixa'!$I$8:$I$207)</f>
        <v>0</v>
      </c>
      <c r="L12" s="52" t="n">
        <f aca="false">SUMPRODUCT(('💰 Fluxo de Caixa'!$F$8:$F$207="Vendas - Outros Marketplaces")*(MONTH('💰 Fluxo de Caixa'!$B$8:$B$207)=10)*(YEAR('💰 Fluxo de Caixa'!$B$8:$B$207)=$C$5)*'💰 Fluxo de Caixa'!$I$8:$I$207)</f>
        <v>0</v>
      </c>
      <c r="M12" s="52" t="n">
        <f aca="false">SUMPRODUCT(('💰 Fluxo de Caixa'!$F$8:$F$207="Vendas - Outros Marketplaces")*(MONTH('💰 Fluxo de Caixa'!$B$8:$B$207)=11)*(YEAR('💰 Fluxo de Caixa'!$B$8:$B$207)=$C$5)*'💰 Fluxo de Caixa'!$I$8:$I$207)</f>
        <v>0</v>
      </c>
      <c r="N12" s="52" t="n">
        <f aca="false">SUMPRODUCT(('💰 Fluxo de Caixa'!$F$8:$F$207="Vendas - Outros Marketplaces")*(MONTH('💰 Fluxo de Caixa'!$B$8:$B$207)=12)*(YEAR('💰 Fluxo de Caixa'!$B$8:$B$207)=$C$5)*'💰 Fluxo de Caixa'!$I$8:$I$207)</f>
        <v>0</v>
      </c>
      <c r="O12" s="53" t="n">
        <f aca="false">SUM(C12:N12)</f>
        <v>0</v>
      </c>
    </row>
    <row r="13" customFormat="false" ht="15" hidden="false" customHeight="false" outlineLevel="0" collapsed="false">
      <c r="B13" s="51" t="s">
        <v>218</v>
      </c>
      <c r="C13" s="52" t="n">
        <f aca="false">SUMPRODUCT(('💰 Fluxo de Caixa'!$E$8:$E$207="Outras Receitas")*(MONTH('💰 Fluxo de Caixa'!$B$8:$B$207)=1)*(YEAR('💰 Fluxo de Caixa'!$B$8:$B$207)=$C$5)*'💰 Fluxo de Caixa'!$I$8:$I$207)</f>
        <v>0</v>
      </c>
      <c r="D13" s="52" t="n">
        <f aca="false">SUMPRODUCT(('💰 Fluxo de Caixa'!$E$8:$E$207="Outras Receitas")*(MONTH('💰 Fluxo de Caixa'!$B$8:$B$207)=2)*(YEAR('💰 Fluxo de Caixa'!$B$8:$B$207)=$C$5)*'💰 Fluxo de Caixa'!$I$8:$I$207)</f>
        <v>0</v>
      </c>
      <c r="E13" s="52" t="n">
        <f aca="false">SUMPRODUCT(('💰 Fluxo de Caixa'!$E$8:$E$207="Outras Receitas")*(MONTH('💰 Fluxo de Caixa'!$B$8:$B$207)=3)*(YEAR('💰 Fluxo de Caixa'!$B$8:$B$207)=$C$5)*'💰 Fluxo de Caixa'!$I$8:$I$207)</f>
        <v>0</v>
      </c>
      <c r="F13" s="52" t="n">
        <f aca="false">SUMPRODUCT(('💰 Fluxo de Caixa'!$E$8:$E$207="Outras Receitas")*(MONTH('💰 Fluxo de Caixa'!$B$8:$B$207)=4)*(YEAR('💰 Fluxo de Caixa'!$B$8:$B$207)=$C$5)*'💰 Fluxo de Caixa'!$I$8:$I$207)</f>
        <v>0</v>
      </c>
      <c r="G13" s="52" t="n">
        <f aca="false">SUMPRODUCT(('💰 Fluxo de Caixa'!$E$8:$E$207="Outras Receitas")*(MONTH('💰 Fluxo de Caixa'!$B$8:$B$207)=5)*(YEAR('💰 Fluxo de Caixa'!$B$8:$B$207)=$C$5)*'💰 Fluxo de Caixa'!$I$8:$I$207)</f>
        <v>0</v>
      </c>
      <c r="H13" s="52" t="n">
        <f aca="false">SUMPRODUCT(('💰 Fluxo de Caixa'!$E$8:$E$207="Outras Receitas")*(MONTH('💰 Fluxo de Caixa'!$B$8:$B$207)=6)*(YEAR('💰 Fluxo de Caixa'!$B$8:$B$207)=$C$5)*'💰 Fluxo de Caixa'!$I$8:$I$207)</f>
        <v>0</v>
      </c>
      <c r="I13" s="52" t="n">
        <f aca="false">SUMPRODUCT(('💰 Fluxo de Caixa'!$E$8:$E$207="Outras Receitas")*(MONTH('💰 Fluxo de Caixa'!$B$8:$B$207)=7)*(YEAR('💰 Fluxo de Caixa'!$B$8:$B$207)=$C$5)*'💰 Fluxo de Caixa'!$I$8:$I$207)</f>
        <v>0</v>
      </c>
      <c r="J13" s="52" t="n">
        <f aca="false">SUMPRODUCT(('💰 Fluxo de Caixa'!$E$8:$E$207="Outras Receitas")*(MONTH('💰 Fluxo de Caixa'!$B$8:$B$207)=8)*(YEAR('💰 Fluxo de Caixa'!$B$8:$B$207)=$C$5)*'💰 Fluxo de Caixa'!$I$8:$I$207)</f>
        <v>0</v>
      </c>
      <c r="K13" s="52" t="n">
        <f aca="false">SUMPRODUCT(('💰 Fluxo de Caixa'!$E$8:$E$207="Outras Receitas")*(MONTH('💰 Fluxo de Caixa'!$B$8:$B$207)=9)*(YEAR('💰 Fluxo de Caixa'!$B$8:$B$207)=$C$5)*'💰 Fluxo de Caixa'!$I$8:$I$207)</f>
        <v>0</v>
      </c>
      <c r="L13" s="52" t="n">
        <f aca="false">SUMPRODUCT(('💰 Fluxo de Caixa'!$E$8:$E$207="Outras Receitas")*(MONTH('💰 Fluxo de Caixa'!$B$8:$B$207)=10)*(YEAR('💰 Fluxo de Caixa'!$B$8:$B$207)=$C$5)*'💰 Fluxo de Caixa'!$I$8:$I$207)</f>
        <v>0</v>
      </c>
      <c r="M13" s="52" t="n">
        <f aca="false">SUMPRODUCT(('💰 Fluxo de Caixa'!$E$8:$E$207="Outras Receitas")*(MONTH('💰 Fluxo de Caixa'!$B$8:$B$207)=11)*(YEAR('💰 Fluxo de Caixa'!$B$8:$B$207)=$C$5)*'💰 Fluxo de Caixa'!$I$8:$I$207)</f>
        <v>0</v>
      </c>
      <c r="N13" s="52" t="n">
        <f aca="false">SUMPRODUCT(('💰 Fluxo de Caixa'!$E$8:$E$207="Outras Receitas")*(MONTH('💰 Fluxo de Caixa'!$B$8:$B$207)=12)*(YEAR('💰 Fluxo de Caixa'!$B$8:$B$207)=$C$5)*'💰 Fluxo de Caixa'!$I$8:$I$207)</f>
        <v>0</v>
      </c>
      <c r="O13" s="53" t="n">
        <f aca="false">SUM(C13:N13)</f>
        <v>0</v>
      </c>
    </row>
    <row r="14" customFormat="false" ht="15" hidden="false" customHeight="false" outlineLevel="0" collapsed="false">
      <c r="B14" s="54" t="s">
        <v>219</v>
      </c>
      <c r="C14" s="55" t="n">
        <f aca="false">SUMPRODUCT(('💰 Fluxo de Caixa'!$E$8:$E$207="Impostos")*(MONTH('💰 Fluxo de Caixa'!$B$8:$B$207)=1)*(YEAR('💰 Fluxo de Caixa'!$B$8:$B$207)=$C$5)*'💰 Fluxo de Caixa'!$I$8:$I$207)</f>
        <v>0</v>
      </c>
      <c r="D14" s="55" t="n">
        <f aca="false">SUMPRODUCT(('💰 Fluxo de Caixa'!$E$8:$E$207="Impostos")*(MONTH('💰 Fluxo de Caixa'!$B$8:$B$207)=2)*(YEAR('💰 Fluxo de Caixa'!$B$8:$B$207)=$C$5)*'💰 Fluxo de Caixa'!$I$8:$I$207)</f>
        <v>0</v>
      </c>
      <c r="E14" s="55" t="n">
        <f aca="false">SUMPRODUCT(('💰 Fluxo de Caixa'!$E$8:$E$207="Impostos")*(MONTH('💰 Fluxo de Caixa'!$B$8:$B$207)=3)*(YEAR('💰 Fluxo de Caixa'!$B$8:$B$207)=$C$5)*'💰 Fluxo de Caixa'!$I$8:$I$207)</f>
        <v>0</v>
      </c>
      <c r="F14" s="55" t="n">
        <f aca="false">SUMPRODUCT(('💰 Fluxo de Caixa'!$E$8:$E$207="Impostos")*(MONTH('💰 Fluxo de Caixa'!$B$8:$B$207)=4)*(YEAR('💰 Fluxo de Caixa'!$B$8:$B$207)=$C$5)*'💰 Fluxo de Caixa'!$I$8:$I$207)</f>
        <v>720</v>
      </c>
      <c r="G14" s="55" t="n">
        <f aca="false">SUMPRODUCT(('💰 Fluxo de Caixa'!$E$8:$E$207="Impostos")*(MONTH('💰 Fluxo de Caixa'!$B$8:$B$207)=5)*(YEAR('💰 Fluxo de Caixa'!$B$8:$B$207)=$C$5)*'💰 Fluxo de Caixa'!$I$8:$I$207)</f>
        <v>0</v>
      </c>
      <c r="H14" s="55" t="n">
        <f aca="false">SUMPRODUCT(('💰 Fluxo de Caixa'!$E$8:$E$207="Impostos")*(MONTH('💰 Fluxo de Caixa'!$B$8:$B$207)=6)*(YEAR('💰 Fluxo de Caixa'!$B$8:$B$207)=$C$5)*'💰 Fluxo de Caixa'!$I$8:$I$207)</f>
        <v>0</v>
      </c>
      <c r="I14" s="55" t="n">
        <f aca="false">SUMPRODUCT(('💰 Fluxo de Caixa'!$E$8:$E$207="Impostos")*(MONTH('💰 Fluxo de Caixa'!$B$8:$B$207)=7)*(YEAR('💰 Fluxo de Caixa'!$B$8:$B$207)=$C$5)*'💰 Fluxo de Caixa'!$I$8:$I$207)</f>
        <v>0</v>
      </c>
      <c r="J14" s="55" t="n">
        <f aca="false">SUMPRODUCT(('💰 Fluxo de Caixa'!$E$8:$E$207="Impostos")*(MONTH('💰 Fluxo de Caixa'!$B$8:$B$207)=8)*(YEAR('💰 Fluxo de Caixa'!$B$8:$B$207)=$C$5)*'💰 Fluxo de Caixa'!$I$8:$I$207)</f>
        <v>0</v>
      </c>
      <c r="K14" s="55" t="n">
        <f aca="false">SUMPRODUCT(('💰 Fluxo de Caixa'!$E$8:$E$207="Impostos")*(MONTH('💰 Fluxo de Caixa'!$B$8:$B$207)=9)*(YEAR('💰 Fluxo de Caixa'!$B$8:$B$207)=$C$5)*'💰 Fluxo de Caixa'!$I$8:$I$207)</f>
        <v>0</v>
      </c>
      <c r="L14" s="55" t="n">
        <f aca="false">SUMPRODUCT(('💰 Fluxo de Caixa'!$E$8:$E$207="Impostos")*(MONTH('💰 Fluxo de Caixa'!$B$8:$B$207)=10)*(YEAR('💰 Fluxo de Caixa'!$B$8:$B$207)=$C$5)*'💰 Fluxo de Caixa'!$I$8:$I$207)</f>
        <v>0</v>
      </c>
      <c r="M14" s="55" t="n">
        <f aca="false">SUMPRODUCT(('💰 Fluxo de Caixa'!$E$8:$E$207="Impostos")*(MONTH('💰 Fluxo de Caixa'!$B$8:$B$207)=11)*(YEAR('💰 Fluxo de Caixa'!$B$8:$B$207)=$C$5)*'💰 Fluxo de Caixa'!$I$8:$I$207)</f>
        <v>0</v>
      </c>
      <c r="N14" s="55" t="n">
        <f aca="false">SUMPRODUCT(('💰 Fluxo de Caixa'!$E$8:$E$207="Impostos")*(MONTH('💰 Fluxo de Caixa'!$B$8:$B$207)=12)*(YEAR('💰 Fluxo de Caixa'!$B$8:$B$207)=$C$5)*'💰 Fluxo de Caixa'!$I$8:$I$207)</f>
        <v>0</v>
      </c>
      <c r="O14" s="55" t="n">
        <f aca="false">SUM(C14:N14)</f>
        <v>720</v>
      </c>
    </row>
    <row r="15" customFormat="false" ht="15" hidden="false" customHeight="false" outlineLevel="0" collapsed="false">
      <c r="B15" s="51" t="s">
        <v>220</v>
      </c>
      <c r="C15" s="52" t="n">
        <f aca="false">SUMPRODUCT(('💰 Fluxo de Caixa'!$F$8:$F$207="DAS / Impostos sobre Vendas")*(MONTH('💰 Fluxo de Caixa'!$B$8:$B$207)=1)*(YEAR('💰 Fluxo de Caixa'!$B$8:$B$207)=$C$5)*'💰 Fluxo de Caixa'!$I$8:$I$207)</f>
        <v>0</v>
      </c>
      <c r="D15" s="52" t="n">
        <f aca="false">SUMPRODUCT(('💰 Fluxo de Caixa'!$F$8:$F$207="DAS / Impostos sobre Vendas")*(MONTH('💰 Fluxo de Caixa'!$B$8:$B$207)=2)*(YEAR('💰 Fluxo de Caixa'!$B$8:$B$207)=$C$5)*'💰 Fluxo de Caixa'!$I$8:$I$207)</f>
        <v>0</v>
      </c>
      <c r="E15" s="52" t="n">
        <f aca="false">SUMPRODUCT(('💰 Fluxo de Caixa'!$F$8:$F$207="DAS / Impostos sobre Vendas")*(MONTH('💰 Fluxo de Caixa'!$B$8:$B$207)=3)*(YEAR('💰 Fluxo de Caixa'!$B$8:$B$207)=$C$5)*'💰 Fluxo de Caixa'!$I$8:$I$207)</f>
        <v>0</v>
      </c>
      <c r="F15" s="52" t="n">
        <f aca="false">SUMPRODUCT(('💰 Fluxo de Caixa'!$F$8:$F$207="DAS / Impostos sobre Vendas")*(MONTH('💰 Fluxo de Caixa'!$B$8:$B$207)=4)*(YEAR('💰 Fluxo de Caixa'!$B$8:$B$207)=$C$5)*'💰 Fluxo de Caixa'!$I$8:$I$207)</f>
        <v>720</v>
      </c>
      <c r="G15" s="52" t="n">
        <f aca="false">SUMPRODUCT(('💰 Fluxo de Caixa'!$F$8:$F$207="DAS / Impostos sobre Vendas")*(MONTH('💰 Fluxo de Caixa'!$B$8:$B$207)=5)*(YEAR('💰 Fluxo de Caixa'!$B$8:$B$207)=$C$5)*'💰 Fluxo de Caixa'!$I$8:$I$207)</f>
        <v>0</v>
      </c>
      <c r="H15" s="52" t="n">
        <f aca="false">SUMPRODUCT(('💰 Fluxo de Caixa'!$F$8:$F$207="DAS / Impostos sobre Vendas")*(MONTH('💰 Fluxo de Caixa'!$B$8:$B$207)=6)*(YEAR('💰 Fluxo de Caixa'!$B$8:$B$207)=$C$5)*'💰 Fluxo de Caixa'!$I$8:$I$207)</f>
        <v>0</v>
      </c>
      <c r="I15" s="52" t="n">
        <f aca="false">SUMPRODUCT(('💰 Fluxo de Caixa'!$F$8:$F$207="DAS / Impostos sobre Vendas")*(MONTH('💰 Fluxo de Caixa'!$B$8:$B$207)=7)*(YEAR('💰 Fluxo de Caixa'!$B$8:$B$207)=$C$5)*'💰 Fluxo de Caixa'!$I$8:$I$207)</f>
        <v>0</v>
      </c>
      <c r="J15" s="52" t="n">
        <f aca="false">SUMPRODUCT(('💰 Fluxo de Caixa'!$F$8:$F$207="DAS / Impostos sobre Vendas")*(MONTH('💰 Fluxo de Caixa'!$B$8:$B$207)=8)*(YEAR('💰 Fluxo de Caixa'!$B$8:$B$207)=$C$5)*'💰 Fluxo de Caixa'!$I$8:$I$207)</f>
        <v>0</v>
      </c>
      <c r="K15" s="52" t="n">
        <f aca="false">SUMPRODUCT(('💰 Fluxo de Caixa'!$F$8:$F$207="DAS / Impostos sobre Vendas")*(MONTH('💰 Fluxo de Caixa'!$B$8:$B$207)=9)*(YEAR('💰 Fluxo de Caixa'!$B$8:$B$207)=$C$5)*'💰 Fluxo de Caixa'!$I$8:$I$207)</f>
        <v>0</v>
      </c>
      <c r="L15" s="52" t="n">
        <f aca="false">SUMPRODUCT(('💰 Fluxo de Caixa'!$F$8:$F$207="DAS / Impostos sobre Vendas")*(MONTH('💰 Fluxo de Caixa'!$B$8:$B$207)=10)*(YEAR('💰 Fluxo de Caixa'!$B$8:$B$207)=$C$5)*'💰 Fluxo de Caixa'!$I$8:$I$207)</f>
        <v>0</v>
      </c>
      <c r="M15" s="52" t="n">
        <f aca="false">SUMPRODUCT(('💰 Fluxo de Caixa'!$F$8:$F$207="DAS / Impostos sobre Vendas")*(MONTH('💰 Fluxo de Caixa'!$B$8:$B$207)=11)*(YEAR('💰 Fluxo de Caixa'!$B$8:$B$207)=$C$5)*'💰 Fluxo de Caixa'!$I$8:$I$207)</f>
        <v>0</v>
      </c>
      <c r="N15" s="52" t="n">
        <f aca="false">SUMPRODUCT(('💰 Fluxo de Caixa'!$F$8:$F$207="DAS / Impostos sobre Vendas")*(MONTH('💰 Fluxo de Caixa'!$B$8:$B$207)=12)*(YEAR('💰 Fluxo de Caixa'!$B$8:$B$207)=$C$5)*'💰 Fluxo de Caixa'!$I$8:$I$207)</f>
        <v>0</v>
      </c>
      <c r="O15" s="53" t="n">
        <f aca="false">SUM(C15:N15)</f>
        <v>720</v>
      </c>
    </row>
    <row r="16" customFormat="false" ht="21.75" hidden="false" customHeight="true" outlineLevel="0" collapsed="false">
      <c r="B16" s="56" t="s">
        <v>221</v>
      </c>
      <c r="C16" s="57" t="n">
        <f aca="false">C8-C14</f>
        <v>0</v>
      </c>
      <c r="D16" s="57" t="n">
        <f aca="false">D8-D14</f>
        <v>0</v>
      </c>
      <c r="E16" s="57" t="n">
        <f aca="false">E8-E14</f>
        <v>0</v>
      </c>
      <c r="F16" s="57" t="n">
        <f aca="false">F8-F14</f>
        <v>17700</v>
      </c>
      <c r="G16" s="57" t="n">
        <f aca="false">G8-G14</f>
        <v>0</v>
      </c>
      <c r="H16" s="57" t="n">
        <f aca="false">H8-H14</f>
        <v>0</v>
      </c>
      <c r="I16" s="57" t="n">
        <f aca="false">I8-I14</f>
        <v>0</v>
      </c>
      <c r="J16" s="57" t="n">
        <f aca="false">J8-J14</f>
        <v>0</v>
      </c>
      <c r="K16" s="57" t="n">
        <f aca="false">K8-K14</f>
        <v>0</v>
      </c>
      <c r="L16" s="57" t="n">
        <f aca="false">L8-L14</f>
        <v>0</v>
      </c>
      <c r="M16" s="57" t="n">
        <f aca="false">M8-M14</f>
        <v>0</v>
      </c>
      <c r="N16" s="57" t="n">
        <f aca="false">N8-N14</f>
        <v>0</v>
      </c>
      <c r="O16" s="57" t="n">
        <f aca="false">SUM(C16:N16)</f>
        <v>17700</v>
      </c>
    </row>
    <row r="17" customFormat="false" ht="15" hidden="false" customHeight="false" outlineLevel="0" collapsed="false">
      <c r="B17" s="54" t="s">
        <v>222</v>
      </c>
      <c r="C17" s="55" t="n">
        <f aca="false">SUMPRODUCT(('💰 Fluxo de Caixa'!$E$8:$E$207="Custo dos Produtos (CMV)")*(MONTH('💰 Fluxo de Caixa'!$B$8:$B$207)=1)*(YEAR('💰 Fluxo de Caixa'!$B$8:$B$207)=$C$5)*'💰 Fluxo de Caixa'!$I$8:$I$207)</f>
        <v>0</v>
      </c>
      <c r="D17" s="55" t="n">
        <f aca="false">SUMPRODUCT(('💰 Fluxo de Caixa'!$E$8:$E$207="Custo dos Produtos (CMV)")*(MONTH('💰 Fluxo de Caixa'!$B$8:$B$207)=2)*(YEAR('💰 Fluxo de Caixa'!$B$8:$B$207)=$C$5)*'💰 Fluxo de Caixa'!$I$8:$I$207)</f>
        <v>0</v>
      </c>
      <c r="E17" s="55" t="n">
        <f aca="false">SUMPRODUCT(('💰 Fluxo de Caixa'!$E$8:$E$207="Custo dos Produtos (CMV)")*(MONTH('💰 Fluxo de Caixa'!$B$8:$B$207)=3)*(YEAR('💰 Fluxo de Caixa'!$B$8:$B$207)=$C$5)*'💰 Fluxo de Caixa'!$I$8:$I$207)</f>
        <v>0</v>
      </c>
      <c r="F17" s="55" t="n">
        <f aca="false">SUMPRODUCT(('💰 Fluxo de Caixa'!$E$8:$E$207="Custo dos Produtos (CMV)")*(MONTH('💰 Fluxo de Caixa'!$B$8:$B$207)=4)*(YEAR('💰 Fluxo de Caixa'!$B$8:$B$207)=$C$5)*'💰 Fluxo de Caixa'!$I$8:$I$207)</f>
        <v>3920</v>
      </c>
      <c r="G17" s="55" t="n">
        <f aca="false">SUMPRODUCT(('💰 Fluxo de Caixa'!$E$8:$E$207="Custo dos Produtos (CMV)")*(MONTH('💰 Fluxo de Caixa'!$B$8:$B$207)=5)*(YEAR('💰 Fluxo de Caixa'!$B$8:$B$207)=$C$5)*'💰 Fluxo de Caixa'!$I$8:$I$207)</f>
        <v>0</v>
      </c>
      <c r="H17" s="55" t="n">
        <f aca="false">SUMPRODUCT(('💰 Fluxo de Caixa'!$E$8:$E$207="Custo dos Produtos (CMV)")*(MONTH('💰 Fluxo de Caixa'!$B$8:$B$207)=6)*(YEAR('💰 Fluxo de Caixa'!$B$8:$B$207)=$C$5)*'💰 Fluxo de Caixa'!$I$8:$I$207)</f>
        <v>0</v>
      </c>
      <c r="I17" s="55" t="n">
        <f aca="false">SUMPRODUCT(('💰 Fluxo de Caixa'!$E$8:$E$207="Custo dos Produtos (CMV)")*(MONTH('💰 Fluxo de Caixa'!$B$8:$B$207)=7)*(YEAR('💰 Fluxo de Caixa'!$B$8:$B$207)=$C$5)*'💰 Fluxo de Caixa'!$I$8:$I$207)</f>
        <v>0</v>
      </c>
      <c r="J17" s="55" t="n">
        <f aca="false">SUMPRODUCT(('💰 Fluxo de Caixa'!$E$8:$E$207="Custo dos Produtos (CMV)")*(MONTH('💰 Fluxo de Caixa'!$B$8:$B$207)=8)*(YEAR('💰 Fluxo de Caixa'!$B$8:$B$207)=$C$5)*'💰 Fluxo de Caixa'!$I$8:$I$207)</f>
        <v>0</v>
      </c>
      <c r="K17" s="55" t="n">
        <f aca="false">SUMPRODUCT(('💰 Fluxo de Caixa'!$E$8:$E$207="Custo dos Produtos (CMV)")*(MONTH('💰 Fluxo de Caixa'!$B$8:$B$207)=9)*(YEAR('💰 Fluxo de Caixa'!$B$8:$B$207)=$C$5)*'💰 Fluxo de Caixa'!$I$8:$I$207)</f>
        <v>0</v>
      </c>
      <c r="L17" s="55" t="n">
        <f aca="false">SUMPRODUCT(('💰 Fluxo de Caixa'!$E$8:$E$207="Custo dos Produtos (CMV)")*(MONTH('💰 Fluxo de Caixa'!$B$8:$B$207)=10)*(YEAR('💰 Fluxo de Caixa'!$B$8:$B$207)=$C$5)*'💰 Fluxo de Caixa'!$I$8:$I$207)</f>
        <v>0</v>
      </c>
      <c r="M17" s="55" t="n">
        <f aca="false">SUMPRODUCT(('💰 Fluxo de Caixa'!$E$8:$E$207="Custo dos Produtos (CMV)")*(MONTH('💰 Fluxo de Caixa'!$B$8:$B$207)=11)*(YEAR('💰 Fluxo de Caixa'!$B$8:$B$207)=$C$5)*'💰 Fluxo de Caixa'!$I$8:$I$207)</f>
        <v>0</v>
      </c>
      <c r="N17" s="55" t="n">
        <f aca="false">SUMPRODUCT(('💰 Fluxo de Caixa'!$E$8:$E$207="Custo dos Produtos (CMV)")*(MONTH('💰 Fluxo de Caixa'!$B$8:$B$207)=12)*(YEAR('💰 Fluxo de Caixa'!$B$8:$B$207)=$C$5)*'💰 Fluxo de Caixa'!$I$8:$I$207)</f>
        <v>0</v>
      </c>
      <c r="O17" s="55" t="n">
        <f aca="false">SUM(C17:N17)</f>
        <v>3920</v>
      </c>
    </row>
    <row r="18" customFormat="false" ht="15" hidden="false" customHeight="false" outlineLevel="0" collapsed="false">
      <c r="B18" s="51" t="s">
        <v>223</v>
      </c>
      <c r="C18" s="52" t="n">
        <f aca="false">SUMPRODUCT(('💰 Fluxo de Caixa'!$F$8:$F$207="Compra de Mercadoria")*(MONTH('💰 Fluxo de Caixa'!$B$8:$B$207)=1)*(YEAR('💰 Fluxo de Caixa'!$B$8:$B$207)=$C$5)*'💰 Fluxo de Caixa'!$I$8:$I$207)</f>
        <v>0</v>
      </c>
      <c r="D18" s="52" t="n">
        <f aca="false">SUMPRODUCT(('💰 Fluxo de Caixa'!$F$8:$F$207="Compra de Mercadoria")*(MONTH('💰 Fluxo de Caixa'!$B$8:$B$207)=2)*(YEAR('💰 Fluxo de Caixa'!$B$8:$B$207)=$C$5)*'💰 Fluxo de Caixa'!$I$8:$I$207)</f>
        <v>0</v>
      </c>
      <c r="E18" s="52" t="n">
        <f aca="false">SUMPRODUCT(('💰 Fluxo de Caixa'!$F$8:$F$207="Compra de Mercadoria")*(MONTH('💰 Fluxo de Caixa'!$B$8:$B$207)=3)*(YEAR('💰 Fluxo de Caixa'!$B$8:$B$207)=$C$5)*'💰 Fluxo de Caixa'!$I$8:$I$207)</f>
        <v>0</v>
      </c>
      <c r="F18" s="52" t="n">
        <f aca="false">SUMPRODUCT(('💰 Fluxo de Caixa'!$F$8:$F$207="Compra de Mercadoria")*(MONTH('💰 Fluxo de Caixa'!$B$8:$B$207)=4)*(YEAR('💰 Fluxo de Caixa'!$B$8:$B$207)=$C$5)*'💰 Fluxo de Caixa'!$I$8:$I$207)</f>
        <v>3500</v>
      </c>
      <c r="G18" s="52" t="n">
        <f aca="false">SUMPRODUCT(('💰 Fluxo de Caixa'!$F$8:$F$207="Compra de Mercadoria")*(MONTH('💰 Fluxo de Caixa'!$B$8:$B$207)=5)*(YEAR('💰 Fluxo de Caixa'!$B$8:$B$207)=$C$5)*'💰 Fluxo de Caixa'!$I$8:$I$207)</f>
        <v>0</v>
      </c>
      <c r="H18" s="52" t="n">
        <f aca="false">SUMPRODUCT(('💰 Fluxo de Caixa'!$F$8:$F$207="Compra de Mercadoria")*(MONTH('💰 Fluxo de Caixa'!$B$8:$B$207)=6)*(YEAR('💰 Fluxo de Caixa'!$B$8:$B$207)=$C$5)*'💰 Fluxo de Caixa'!$I$8:$I$207)</f>
        <v>0</v>
      </c>
      <c r="I18" s="52" t="n">
        <f aca="false">SUMPRODUCT(('💰 Fluxo de Caixa'!$F$8:$F$207="Compra de Mercadoria")*(MONTH('💰 Fluxo de Caixa'!$B$8:$B$207)=7)*(YEAR('💰 Fluxo de Caixa'!$B$8:$B$207)=$C$5)*'💰 Fluxo de Caixa'!$I$8:$I$207)</f>
        <v>0</v>
      </c>
      <c r="J18" s="52" t="n">
        <f aca="false">SUMPRODUCT(('💰 Fluxo de Caixa'!$F$8:$F$207="Compra de Mercadoria")*(MONTH('💰 Fluxo de Caixa'!$B$8:$B$207)=8)*(YEAR('💰 Fluxo de Caixa'!$B$8:$B$207)=$C$5)*'💰 Fluxo de Caixa'!$I$8:$I$207)</f>
        <v>0</v>
      </c>
      <c r="K18" s="52" t="n">
        <f aca="false">SUMPRODUCT(('💰 Fluxo de Caixa'!$F$8:$F$207="Compra de Mercadoria")*(MONTH('💰 Fluxo de Caixa'!$B$8:$B$207)=9)*(YEAR('💰 Fluxo de Caixa'!$B$8:$B$207)=$C$5)*'💰 Fluxo de Caixa'!$I$8:$I$207)</f>
        <v>0</v>
      </c>
      <c r="L18" s="52" t="n">
        <f aca="false">SUMPRODUCT(('💰 Fluxo de Caixa'!$F$8:$F$207="Compra de Mercadoria")*(MONTH('💰 Fluxo de Caixa'!$B$8:$B$207)=10)*(YEAR('💰 Fluxo de Caixa'!$B$8:$B$207)=$C$5)*'💰 Fluxo de Caixa'!$I$8:$I$207)</f>
        <v>0</v>
      </c>
      <c r="M18" s="52" t="n">
        <f aca="false">SUMPRODUCT(('💰 Fluxo de Caixa'!$F$8:$F$207="Compra de Mercadoria")*(MONTH('💰 Fluxo de Caixa'!$B$8:$B$207)=11)*(YEAR('💰 Fluxo de Caixa'!$B$8:$B$207)=$C$5)*'💰 Fluxo de Caixa'!$I$8:$I$207)</f>
        <v>0</v>
      </c>
      <c r="N18" s="52" t="n">
        <f aca="false">SUMPRODUCT(('💰 Fluxo de Caixa'!$F$8:$F$207="Compra de Mercadoria")*(MONTH('💰 Fluxo de Caixa'!$B$8:$B$207)=12)*(YEAR('💰 Fluxo de Caixa'!$B$8:$B$207)=$C$5)*'💰 Fluxo de Caixa'!$I$8:$I$207)</f>
        <v>0</v>
      </c>
      <c r="O18" s="53" t="n">
        <f aca="false">SUM(C18:N18)</f>
        <v>3500</v>
      </c>
    </row>
    <row r="19" customFormat="false" ht="15" hidden="false" customHeight="false" outlineLevel="0" collapsed="false">
      <c r="B19" s="51" t="s">
        <v>224</v>
      </c>
      <c r="C19" s="52" t="n">
        <f aca="false">SUMPRODUCT(('💰 Fluxo de Caixa'!$F$8:$F$207="Embalagens")*(MONTH('💰 Fluxo de Caixa'!$B$8:$B$207)=1)*(YEAR('💰 Fluxo de Caixa'!$B$8:$B$207)=$C$5)*'💰 Fluxo de Caixa'!$I$8:$I$207)</f>
        <v>0</v>
      </c>
      <c r="D19" s="52" t="n">
        <f aca="false">SUMPRODUCT(('💰 Fluxo de Caixa'!$F$8:$F$207="Embalagens")*(MONTH('💰 Fluxo de Caixa'!$B$8:$B$207)=2)*(YEAR('💰 Fluxo de Caixa'!$B$8:$B$207)=$C$5)*'💰 Fluxo de Caixa'!$I$8:$I$207)</f>
        <v>0</v>
      </c>
      <c r="E19" s="52" t="n">
        <f aca="false">SUMPRODUCT(('💰 Fluxo de Caixa'!$F$8:$F$207="Embalagens")*(MONTH('💰 Fluxo de Caixa'!$B$8:$B$207)=3)*(YEAR('💰 Fluxo de Caixa'!$B$8:$B$207)=$C$5)*'💰 Fluxo de Caixa'!$I$8:$I$207)</f>
        <v>0</v>
      </c>
      <c r="F19" s="52" t="n">
        <f aca="false">SUMPRODUCT(('💰 Fluxo de Caixa'!$F$8:$F$207="Embalagens")*(MONTH('💰 Fluxo de Caixa'!$B$8:$B$207)=4)*(YEAR('💰 Fluxo de Caixa'!$B$8:$B$207)=$C$5)*'💰 Fluxo de Caixa'!$I$8:$I$207)</f>
        <v>420</v>
      </c>
      <c r="G19" s="52" t="n">
        <f aca="false">SUMPRODUCT(('💰 Fluxo de Caixa'!$F$8:$F$207="Embalagens")*(MONTH('💰 Fluxo de Caixa'!$B$8:$B$207)=5)*(YEAR('💰 Fluxo de Caixa'!$B$8:$B$207)=$C$5)*'💰 Fluxo de Caixa'!$I$8:$I$207)</f>
        <v>0</v>
      </c>
      <c r="H19" s="52" t="n">
        <f aca="false">SUMPRODUCT(('💰 Fluxo de Caixa'!$F$8:$F$207="Embalagens")*(MONTH('💰 Fluxo de Caixa'!$B$8:$B$207)=6)*(YEAR('💰 Fluxo de Caixa'!$B$8:$B$207)=$C$5)*'💰 Fluxo de Caixa'!$I$8:$I$207)</f>
        <v>0</v>
      </c>
      <c r="I19" s="52" t="n">
        <f aca="false">SUMPRODUCT(('💰 Fluxo de Caixa'!$F$8:$F$207="Embalagens")*(MONTH('💰 Fluxo de Caixa'!$B$8:$B$207)=7)*(YEAR('💰 Fluxo de Caixa'!$B$8:$B$207)=$C$5)*'💰 Fluxo de Caixa'!$I$8:$I$207)</f>
        <v>0</v>
      </c>
      <c r="J19" s="52" t="n">
        <f aca="false">SUMPRODUCT(('💰 Fluxo de Caixa'!$F$8:$F$207="Embalagens")*(MONTH('💰 Fluxo de Caixa'!$B$8:$B$207)=8)*(YEAR('💰 Fluxo de Caixa'!$B$8:$B$207)=$C$5)*'💰 Fluxo de Caixa'!$I$8:$I$207)</f>
        <v>0</v>
      </c>
      <c r="K19" s="52" t="n">
        <f aca="false">SUMPRODUCT(('💰 Fluxo de Caixa'!$F$8:$F$207="Embalagens")*(MONTH('💰 Fluxo de Caixa'!$B$8:$B$207)=9)*(YEAR('💰 Fluxo de Caixa'!$B$8:$B$207)=$C$5)*'💰 Fluxo de Caixa'!$I$8:$I$207)</f>
        <v>0</v>
      </c>
      <c r="L19" s="52" t="n">
        <f aca="false">SUMPRODUCT(('💰 Fluxo de Caixa'!$F$8:$F$207="Embalagens")*(MONTH('💰 Fluxo de Caixa'!$B$8:$B$207)=10)*(YEAR('💰 Fluxo de Caixa'!$B$8:$B$207)=$C$5)*'💰 Fluxo de Caixa'!$I$8:$I$207)</f>
        <v>0</v>
      </c>
      <c r="M19" s="52" t="n">
        <f aca="false">SUMPRODUCT(('💰 Fluxo de Caixa'!$F$8:$F$207="Embalagens")*(MONTH('💰 Fluxo de Caixa'!$B$8:$B$207)=11)*(YEAR('💰 Fluxo de Caixa'!$B$8:$B$207)=$C$5)*'💰 Fluxo de Caixa'!$I$8:$I$207)</f>
        <v>0</v>
      </c>
      <c r="N19" s="52" t="n">
        <f aca="false">SUMPRODUCT(('💰 Fluxo de Caixa'!$F$8:$F$207="Embalagens")*(MONTH('💰 Fluxo de Caixa'!$B$8:$B$207)=12)*(YEAR('💰 Fluxo de Caixa'!$B$8:$B$207)=$C$5)*'💰 Fluxo de Caixa'!$I$8:$I$207)</f>
        <v>0</v>
      </c>
      <c r="O19" s="53" t="n">
        <f aca="false">SUM(C19:N19)</f>
        <v>420</v>
      </c>
    </row>
    <row r="20" customFormat="false" ht="21.75" hidden="false" customHeight="true" outlineLevel="0" collapsed="false">
      <c r="B20" s="56" t="s">
        <v>225</v>
      </c>
      <c r="C20" s="57" t="n">
        <f aca="false">C16-C17</f>
        <v>0</v>
      </c>
      <c r="D20" s="57" t="n">
        <f aca="false">D16-D17</f>
        <v>0</v>
      </c>
      <c r="E20" s="57" t="n">
        <f aca="false">E16-E17</f>
        <v>0</v>
      </c>
      <c r="F20" s="57" t="n">
        <f aca="false">F16-F17</f>
        <v>13780</v>
      </c>
      <c r="G20" s="57" t="n">
        <f aca="false">G16-G17</f>
        <v>0</v>
      </c>
      <c r="H20" s="57" t="n">
        <f aca="false">H16-H17</f>
        <v>0</v>
      </c>
      <c r="I20" s="57" t="n">
        <f aca="false">I16-I17</f>
        <v>0</v>
      </c>
      <c r="J20" s="57" t="n">
        <f aca="false">J16-J17</f>
        <v>0</v>
      </c>
      <c r="K20" s="57" t="n">
        <f aca="false">K16-K17</f>
        <v>0</v>
      </c>
      <c r="L20" s="57" t="n">
        <f aca="false">L16-L17</f>
        <v>0</v>
      </c>
      <c r="M20" s="57" t="n">
        <f aca="false">M16-M17</f>
        <v>0</v>
      </c>
      <c r="N20" s="57" t="n">
        <f aca="false">N16-N17</f>
        <v>0</v>
      </c>
      <c r="O20" s="57" t="n">
        <f aca="false">SUM(C20:N20)</f>
        <v>13780</v>
      </c>
    </row>
    <row r="21" customFormat="false" ht="15" hidden="false" customHeight="false" outlineLevel="0" collapsed="false">
      <c r="B21" s="54" t="s">
        <v>226</v>
      </c>
      <c r="C21" s="55" t="n">
        <f aca="false">SUMPRODUCT(('💰 Fluxo de Caixa'!$E$8:$E$207="Despesas Variáveis")*(MONTH('💰 Fluxo de Caixa'!$B$8:$B$207)=1)*(YEAR('💰 Fluxo de Caixa'!$B$8:$B$207)=$C$5)*'💰 Fluxo de Caixa'!$I$8:$I$207)</f>
        <v>0</v>
      </c>
      <c r="D21" s="55" t="n">
        <f aca="false">SUMPRODUCT(('💰 Fluxo de Caixa'!$E$8:$E$207="Despesas Variáveis")*(MONTH('💰 Fluxo de Caixa'!$B$8:$B$207)=2)*(YEAR('💰 Fluxo de Caixa'!$B$8:$B$207)=$C$5)*'💰 Fluxo de Caixa'!$I$8:$I$207)</f>
        <v>0</v>
      </c>
      <c r="E21" s="55" t="n">
        <f aca="false">SUMPRODUCT(('💰 Fluxo de Caixa'!$E$8:$E$207="Despesas Variáveis")*(MONTH('💰 Fluxo de Caixa'!$B$8:$B$207)=3)*(YEAR('💰 Fluxo de Caixa'!$B$8:$B$207)=$C$5)*'💰 Fluxo de Caixa'!$I$8:$I$207)</f>
        <v>0</v>
      </c>
      <c r="F21" s="55" t="n">
        <f aca="false">SUMPRODUCT(('💰 Fluxo de Caixa'!$E$8:$E$207="Despesas Variáveis")*(MONTH('💰 Fluxo de Caixa'!$B$8:$B$207)=4)*(YEAR('💰 Fluxo de Caixa'!$B$8:$B$207)=$C$5)*'💰 Fluxo de Caixa'!$I$8:$I$207)</f>
        <v>890</v>
      </c>
      <c r="G21" s="55" t="n">
        <f aca="false">SUMPRODUCT(('💰 Fluxo de Caixa'!$E$8:$E$207="Despesas Variáveis")*(MONTH('💰 Fluxo de Caixa'!$B$8:$B$207)=5)*(YEAR('💰 Fluxo de Caixa'!$B$8:$B$207)=$C$5)*'💰 Fluxo de Caixa'!$I$8:$I$207)</f>
        <v>0</v>
      </c>
      <c r="H21" s="55" t="n">
        <f aca="false">SUMPRODUCT(('💰 Fluxo de Caixa'!$E$8:$E$207="Despesas Variáveis")*(MONTH('💰 Fluxo de Caixa'!$B$8:$B$207)=6)*(YEAR('💰 Fluxo de Caixa'!$B$8:$B$207)=$C$5)*'💰 Fluxo de Caixa'!$I$8:$I$207)</f>
        <v>0</v>
      </c>
      <c r="I21" s="55" t="n">
        <f aca="false">SUMPRODUCT(('💰 Fluxo de Caixa'!$E$8:$E$207="Despesas Variáveis")*(MONTH('💰 Fluxo de Caixa'!$B$8:$B$207)=7)*(YEAR('💰 Fluxo de Caixa'!$B$8:$B$207)=$C$5)*'💰 Fluxo de Caixa'!$I$8:$I$207)</f>
        <v>0</v>
      </c>
      <c r="J21" s="55" t="n">
        <f aca="false">SUMPRODUCT(('💰 Fluxo de Caixa'!$E$8:$E$207="Despesas Variáveis")*(MONTH('💰 Fluxo de Caixa'!$B$8:$B$207)=8)*(YEAR('💰 Fluxo de Caixa'!$B$8:$B$207)=$C$5)*'💰 Fluxo de Caixa'!$I$8:$I$207)</f>
        <v>0</v>
      </c>
      <c r="K21" s="55" t="n">
        <f aca="false">SUMPRODUCT(('💰 Fluxo de Caixa'!$E$8:$E$207="Despesas Variáveis")*(MONTH('💰 Fluxo de Caixa'!$B$8:$B$207)=9)*(YEAR('💰 Fluxo de Caixa'!$B$8:$B$207)=$C$5)*'💰 Fluxo de Caixa'!$I$8:$I$207)</f>
        <v>0</v>
      </c>
      <c r="L21" s="55" t="n">
        <f aca="false">SUMPRODUCT(('💰 Fluxo de Caixa'!$E$8:$E$207="Despesas Variáveis")*(MONTH('💰 Fluxo de Caixa'!$B$8:$B$207)=10)*(YEAR('💰 Fluxo de Caixa'!$B$8:$B$207)=$C$5)*'💰 Fluxo de Caixa'!$I$8:$I$207)</f>
        <v>0</v>
      </c>
      <c r="M21" s="55" t="n">
        <f aca="false">SUMPRODUCT(('💰 Fluxo de Caixa'!$E$8:$E$207="Despesas Variáveis")*(MONTH('💰 Fluxo de Caixa'!$B$8:$B$207)=11)*(YEAR('💰 Fluxo de Caixa'!$B$8:$B$207)=$C$5)*'💰 Fluxo de Caixa'!$I$8:$I$207)</f>
        <v>0</v>
      </c>
      <c r="N21" s="55" t="n">
        <f aca="false">SUMPRODUCT(('💰 Fluxo de Caixa'!$E$8:$E$207="Despesas Variáveis")*(MONTH('💰 Fluxo de Caixa'!$B$8:$B$207)=12)*(YEAR('💰 Fluxo de Caixa'!$B$8:$B$207)=$C$5)*'💰 Fluxo de Caixa'!$I$8:$I$207)</f>
        <v>0</v>
      </c>
      <c r="O21" s="55" t="n">
        <f aca="false">SUM(C21:N21)</f>
        <v>890</v>
      </c>
    </row>
    <row r="22" customFormat="false" ht="15" hidden="false" customHeight="false" outlineLevel="0" collapsed="false">
      <c r="B22" s="51" t="s">
        <v>227</v>
      </c>
      <c r="C22" s="52" t="n">
        <f aca="false">SUMPRODUCT(('💰 Fluxo de Caixa'!$F$8:$F$207="Frete (envio)")*(MONTH('💰 Fluxo de Caixa'!$B$8:$B$207)=1)*(YEAR('💰 Fluxo de Caixa'!$B$8:$B$207)=$C$5)*'💰 Fluxo de Caixa'!$I$8:$I$207)</f>
        <v>0</v>
      </c>
      <c r="D22" s="52" t="n">
        <f aca="false">SUMPRODUCT(('💰 Fluxo de Caixa'!$F$8:$F$207="Frete (envio)")*(MONTH('💰 Fluxo de Caixa'!$B$8:$B$207)=2)*(YEAR('💰 Fluxo de Caixa'!$B$8:$B$207)=$C$5)*'💰 Fluxo de Caixa'!$I$8:$I$207)</f>
        <v>0</v>
      </c>
      <c r="E22" s="52" t="n">
        <f aca="false">SUMPRODUCT(('💰 Fluxo de Caixa'!$F$8:$F$207="Frete (envio)")*(MONTH('💰 Fluxo de Caixa'!$B$8:$B$207)=3)*(YEAR('💰 Fluxo de Caixa'!$B$8:$B$207)=$C$5)*'💰 Fluxo de Caixa'!$I$8:$I$207)</f>
        <v>0</v>
      </c>
      <c r="F22" s="52" t="n">
        <f aca="false">SUMPRODUCT(('💰 Fluxo de Caixa'!$F$8:$F$207="Frete (envio)")*(MONTH('💰 Fluxo de Caixa'!$B$8:$B$207)=4)*(YEAR('💰 Fluxo de Caixa'!$B$8:$B$207)=$C$5)*'💰 Fluxo de Caixa'!$I$8:$I$207)</f>
        <v>890</v>
      </c>
      <c r="G22" s="52" t="n">
        <f aca="false">SUMPRODUCT(('💰 Fluxo de Caixa'!$F$8:$F$207="Frete (envio)")*(MONTH('💰 Fluxo de Caixa'!$B$8:$B$207)=5)*(YEAR('💰 Fluxo de Caixa'!$B$8:$B$207)=$C$5)*'💰 Fluxo de Caixa'!$I$8:$I$207)</f>
        <v>0</v>
      </c>
      <c r="H22" s="52" t="n">
        <f aca="false">SUMPRODUCT(('💰 Fluxo de Caixa'!$F$8:$F$207="Frete (envio)")*(MONTH('💰 Fluxo de Caixa'!$B$8:$B$207)=6)*(YEAR('💰 Fluxo de Caixa'!$B$8:$B$207)=$C$5)*'💰 Fluxo de Caixa'!$I$8:$I$207)</f>
        <v>0</v>
      </c>
      <c r="I22" s="52" t="n">
        <f aca="false">SUMPRODUCT(('💰 Fluxo de Caixa'!$F$8:$F$207="Frete (envio)")*(MONTH('💰 Fluxo de Caixa'!$B$8:$B$207)=7)*(YEAR('💰 Fluxo de Caixa'!$B$8:$B$207)=$C$5)*'💰 Fluxo de Caixa'!$I$8:$I$207)</f>
        <v>0</v>
      </c>
      <c r="J22" s="52" t="n">
        <f aca="false">SUMPRODUCT(('💰 Fluxo de Caixa'!$F$8:$F$207="Frete (envio)")*(MONTH('💰 Fluxo de Caixa'!$B$8:$B$207)=8)*(YEAR('💰 Fluxo de Caixa'!$B$8:$B$207)=$C$5)*'💰 Fluxo de Caixa'!$I$8:$I$207)</f>
        <v>0</v>
      </c>
      <c r="K22" s="52" t="n">
        <f aca="false">SUMPRODUCT(('💰 Fluxo de Caixa'!$F$8:$F$207="Frete (envio)")*(MONTH('💰 Fluxo de Caixa'!$B$8:$B$207)=9)*(YEAR('💰 Fluxo de Caixa'!$B$8:$B$207)=$C$5)*'💰 Fluxo de Caixa'!$I$8:$I$207)</f>
        <v>0</v>
      </c>
      <c r="L22" s="52" t="n">
        <f aca="false">SUMPRODUCT(('💰 Fluxo de Caixa'!$F$8:$F$207="Frete (envio)")*(MONTH('💰 Fluxo de Caixa'!$B$8:$B$207)=10)*(YEAR('💰 Fluxo de Caixa'!$B$8:$B$207)=$C$5)*'💰 Fluxo de Caixa'!$I$8:$I$207)</f>
        <v>0</v>
      </c>
      <c r="M22" s="52" t="n">
        <f aca="false">SUMPRODUCT(('💰 Fluxo de Caixa'!$F$8:$F$207="Frete (envio)")*(MONTH('💰 Fluxo de Caixa'!$B$8:$B$207)=11)*(YEAR('💰 Fluxo de Caixa'!$B$8:$B$207)=$C$5)*'💰 Fluxo de Caixa'!$I$8:$I$207)</f>
        <v>0</v>
      </c>
      <c r="N22" s="52" t="n">
        <f aca="false">SUMPRODUCT(('💰 Fluxo de Caixa'!$F$8:$F$207="Frete (envio)")*(MONTH('💰 Fluxo de Caixa'!$B$8:$B$207)=12)*(YEAR('💰 Fluxo de Caixa'!$B$8:$B$207)=$C$5)*'💰 Fluxo de Caixa'!$I$8:$I$207)</f>
        <v>0</v>
      </c>
      <c r="O22" s="53" t="n">
        <f aca="false">SUM(C22:N22)</f>
        <v>890</v>
      </c>
    </row>
    <row r="23" customFormat="false" ht="15" hidden="false" customHeight="false" outlineLevel="0" collapsed="false">
      <c r="B23" s="51" t="s">
        <v>228</v>
      </c>
      <c r="C23" s="52" t="n">
        <f aca="false">SUMPRODUCT(('💰 Fluxo de Caixa'!$F$8:$F$207="Comissões Marketplace")*(MONTH('💰 Fluxo de Caixa'!$B$8:$B$207)=1)*(YEAR('💰 Fluxo de Caixa'!$B$8:$B$207)=$C$5)*'💰 Fluxo de Caixa'!$I$8:$I$207)</f>
        <v>0</v>
      </c>
      <c r="D23" s="52" t="n">
        <f aca="false">SUMPRODUCT(('💰 Fluxo de Caixa'!$F$8:$F$207="Comissões Marketplace")*(MONTH('💰 Fluxo de Caixa'!$B$8:$B$207)=2)*(YEAR('💰 Fluxo de Caixa'!$B$8:$B$207)=$C$5)*'💰 Fluxo de Caixa'!$I$8:$I$207)</f>
        <v>0</v>
      </c>
      <c r="E23" s="52" t="n">
        <f aca="false">SUMPRODUCT(('💰 Fluxo de Caixa'!$F$8:$F$207="Comissões Marketplace")*(MONTH('💰 Fluxo de Caixa'!$B$8:$B$207)=3)*(YEAR('💰 Fluxo de Caixa'!$B$8:$B$207)=$C$5)*'💰 Fluxo de Caixa'!$I$8:$I$207)</f>
        <v>0</v>
      </c>
      <c r="F23" s="52" t="n">
        <f aca="false">SUMPRODUCT(('💰 Fluxo de Caixa'!$F$8:$F$207="Comissões Marketplace")*(MONTH('💰 Fluxo de Caixa'!$B$8:$B$207)=4)*(YEAR('💰 Fluxo de Caixa'!$B$8:$B$207)=$C$5)*'💰 Fluxo de Caixa'!$I$8:$I$207)</f>
        <v>0</v>
      </c>
      <c r="G23" s="52" t="n">
        <f aca="false">SUMPRODUCT(('💰 Fluxo de Caixa'!$F$8:$F$207="Comissões Marketplace")*(MONTH('💰 Fluxo de Caixa'!$B$8:$B$207)=5)*(YEAR('💰 Fluxo de Caixa'!$B$8:$B$207)=$C$5)*'💰 Fluxo de Caixa'!$I$8:$I$207)</f>
        <v>0</v>
      </c>
      <c r="H23" s="52" t="n">
        <f aca="false">SUMPRODUCT(('💰 Fluxo de Caixa'!$F$8:$F$207="Comissões Marketplace")*(MONTH('💰 Fluxo de Caixa'!$B$8:$B$207)=6)*(YEAR('💰 Fluxo de Caixa'!$B$8:$B$207)=$C$5)*'💰 Fluxo de Caixa'!$I$8:$I$207)</f>
        <v>0</v>
      </c>
      <c r="I23" s="52" t="n">
        <f aca="false">SUMPRODUCT(('💰 Fluxo de Caixa'!$F$8:$F$207="Comissões Marketplace")*(MONTH('💰 Fluxo de Caixa'!$B$8:$B$207)=7)*(YEAR('💰 Fluxo de Caixa'!$B$8:$B$207)=$C$5)*'💰 Fluxo de Caixa'!$I$8:$I$207)</f>
        <v>0</v>
      </c>
      <c r="J23" s="52" t="n">
        <f aca="false">SUMPRODUCT(('💰 Fluxo de Caixa'!$F$8:$F$207="Comissões Marketplace")*(MONTH('💰 Fluxo de Caixa'!$B$8:$B$207)=8)*(YEAR('💰 Fluxo de Caixa'!$B$8:$B$207)=$C$5)*'💰 Fluxo de Caixa'!$I$8:$I$207)</f>
        <v>0</v>
      </c>
      <c r="K23" s="52" t="n">
        <f aca="false">SUMPRODUCT(('💰 Fluxo de Caixa'!$F$8:$F$207="Comissões Marketplace")*(MONTH('💰 Fluxo de Caixa'!$B$8:$B$207)=9)*(YEAR('💰 Fluxo de Caixa'!$B$8:$B$207)=$C$5)*'💰 Fluxo de Caixa'!$I$8:$I$207)</f>
        <v>0</v>
      </c>
      <c r="L23" s="52" t="n">
        <f aca="false">SUMPRODUCT(('💰 Fluxo de Caixa'!$F$8:$F$207="Comissões Marketplace")*(MONTH('💰 Fluxo de Caixa'!$B$8:$B$207)=10)*(YEAR('💰 Fluxo de Caixa'!$B$8:$B$207)=$C$5)*'💰 Fluxo de Caixa'!$I$8:$I$207)</f>
        <v>0</v>
      </c>
      <c r="M23" s="52" t="n">
        <f aca="false">SUMPRODUCT(('💰 Fluxo de Caixa'!$F$8:$F$207="Comissões Marketplace")*(MONTH('💰 Fluxo de Caixa'!$B$8:$B$207)=11)*(YEAR('💰 Fluxo de Caixa'!$B$8:$B$207)=$C$5)*'💰 Fluxo de Caixa'!$I$8:$I$207)</f>
        <v>0</v>
      </c>
      <c r="N23" s="52" t="n">
        <f aca="false">SUMPRODUCT(('💰 Fluxo de Caixa'!$F$8:$F$207="Comissões Marketplace")*(MONTH('💰 Fluxo de Caixa'!$B$8:$B$207)=12)*(YEAR('💰 Fluxo de Caixa'!$B$8:$B$207)=$C$5)*'💰 Fluxo de Caixa'!$I$8:$I$207)</f>
        <v>0</v>
      </c>
      <c r="O23" s="53" t="n">
        <f aca="false">SUM(C23:N23)</f>
        <v>0</v>
      </c>
    </row>
    <row r="24" customFormat="false" ht="15" hidden="false" customHeight="false" outlineLevel="0" collapsed="false">
      <c r="B24" s="51" t="s">
        <v>229</v>
      </c>
      <c r="C24" s="52" t="n">
        <f aca="false">SUMPRODUCT(('💰 Fluxo de Caixa'!$F$8:$F$207="Taxas de Pagamento")*(MONTH('💰 Fluxo de Caixa'!$B$8:$B$207)=1)*(YEAR('💰 Fluxo de Caixa'!$B$8:$B$207)=$C$5)*'💰 Fluxo de Caixa'!$I$8:$I$207)</f>
        <v>0</v>
      </c>
      <c r="D24" s="52" t="n">
        <f aca="false">SUMPRODUCT(('💰 Fluxo de Caixa'!$F$8:$F$207="Taxas de Pagamento")*(MONTH('💰 Fluxo de Caixa'!$B$8:$B$207)=2)*(YEAR('💰 Fluxo de Caixa'!$B$8:$B$207)=$C$5)*'💰 Fluxo de Caixa'!$I$8:$I$207)</f>
        <v>0</v>
      </c>
      <c r="E24" s="52" t="n">
        <f aca="false">SUMPRODUCT(('💰 Fluxo de Caixa'!$F$8:$F$207="Taxas de Pagamento")*(MONTH('💰 Fluxo de Caixa'!$B$8:$B$207)=3)*(YEAR('💰 Fluxo de Caixa'!$B$8:$B$207)=$C$5)*'💰 Fluxo de Caixa'!$I$8:$I$207)</f>
        <v>0</v>
      </c>
      <c r="F24" s="52" t="n">
        <f aca="false">SUMPRODUCT(('💰 Fluxo de Caixa'!$F$8:$F$207="Taxas de Pagamento")*(MONTH('💰 Fluxo de Caixa'!$B$8:$B$207)=4)*(YEAR('💰 Fluxo de Caixa'!$B$8:$B$207)=$C$5)*'💰 Fluxo de Caixa'!$I$8:$I$207)</f>
        <v>0</v>
      </c>
      <c r="G24" s="52" t="n">
        <f aca="false">SUMPRODUCT(('💰 Fluxo de Caixa'!$F$8:$F$207="Taxas de Pagamento")*(MONTH('💰 Fluxo de Caixa'!$B$8:$B$207)=5)*(YEAR('💰 Fluxo de Caixa'!$B$8:$B$207)=$C$5)*'💰 Fluxo de Caixa'!$I$8:$I$207)</f>
        <v>0</v>
      </c>
      <c r="H24" s="52" t="n">
        <f aca="false">SUMPRODUCT(('💰 Fluxo de Caixa'!$F$8:$F$207="Taxas de Pagamento")*(MONTH('💰 Fluxo de Caixa'!$B$8:$B$207)=6)*(YEAR('💰 Fluxo de Caixa'!$B$8:$B$207)=$C$5)*'💰 Fluxo de Caixa'!$I$8:$I$207)</f>
        <v>0</v>
      </c>
      <c r="I24" s="52" t="n">
        <f aca="false">SUMPRODUCT(('💰 Fluxo de Caixa'!$F$8:$F$207="Taxas de Pagamento")*(MONTH('💰 Fluxo de Caixa'!$B$8:$B$207)=7)*(YEAR('💰 Fluxo de Caixa'!$B$8:$B$207)=$C$5)*'💰 Fluxo de Caixa'!$I$8:$I$207)</f>
        <v>0</v>
      </c>
      <c r="J24" s="52" t="n">
        <f aca="false">SUMPRODUCT(('💰 Fluxo de Caixa'!$F$8:$F$207="Taxas de Pagamento")*(MONTH('💰 Fluxo de Caixa'!$B$8:$B$207)=8)*(YEAR('💰 Fluxo de Caixa'!$B$8:$B$207)=$C$5)*'💰 Fluxo de Caixa'!$I$8:$I$207)</f>
        <v>0</v>
      </c>
      <c r="K24" s="52" t="n">
        <f aca="false">SUMPRODUCT(('💰 Fluxo de Caixa'!$F$8:$F$207="Taxas de Pagamento")*(MONTH('💰 Fluxo de Caixa'!$B$8:$B$207)=9)*(YEAR('💰 Fluxo de Caixa'!$B$8:$B$207)=$C$5)*'💰 Fluxo de Caixa'!$I$8:$I$207)</f>
        <v>0</v>
      </c>
      <c r="L24" s="52" t="n">
        <f aca="false">SUMPRODUCT(('💰 Fluxo de Caixa'!$F$8:$F$207="Taxas de Pagamento")*(MONTH('💰 Fluxo de Caixa'!$B$8:$B$207)=10)*(YEAR('💰 Fluxo de Caixa'!$B$8:$B$207)=$C$5)*'💰 Fluxo de Caixa'!$I$8:$I$207)</f>
        <v>0</v>
      </c>
      <c r="M24" s="52" t="n">
        <f aca="false">SUMPRODUCT(('💰 Fluxo de Caixa'!$F$8:$F$207="Taxas de Pagamento")*(MONTH('💰 Fluxo de Caixa'!$B$8:$B$207)=11)*(YEAR('💰 Fluxo de Caixa'!$B$8:$B$207)=$C$5)*'💰 Fluxo de Caixa'!$I$8:$I$207)</f>
        <v>0</v>
      </c>
      <c r="N24" s="52" t="n">
        <f aca="false">SUMPRODUCT(('💰 Fluxo de Caixa'!$F$8:$F$207="Taxas de Pagamento")*(MONTH('💰 Fluxo de Caixa'!$B$8:$B$207)=12)*(YEAR('💰 Fluxo de Caixa'!$B$8:$B$207)=$C$5)*'💰 Fluxo de Caixa'!$I$8:$I$207)</f>
        <v>0</v>
      </c>
      <c r="O24" s="53" t="n">
        <f aca="false">SUM(C24:N24)</f>
        <v>0</v>
      </c>
    </row>
    <row r="25" customFormat="false" ht="15" hidden="false" customHeight="false" outlineLevel="0" collapsed="false">
      <c r="B25" s="54" t="s">
        <v>230</v>
      </c>
      <c r="C25" s="55" t="n">
        <f aca="false">SUMPRODUCT(('💰 Fluxo de Caixa'!$E$8:$E$207="Despesas Operacionais")*(MONTH('💰 Fluxo de Caixa'!$B$8:$B$207)=1)*(YEAR('💰 Fluxo de Caixa'!$B$8:$B$207)=$C$5)*'💰 Fluxo de Caixa'!$I$8:$I$207)</f>
        <v>0</v>
      </c>
      <c r="D25" s="55" t="n">
        <f aca="false">SUMPRODUCT(('💰 Fluxo de Caixa'!$E$8:$E$207="Despesas Operacionais")*(MONTH('💰 Fluxo de Caixa'!$B$8:$B$207)=2)*(YEAR('💰 Fluxo de Caixa'!$B$8:$B$207)=$C$5)*'💰 Fluxo de Caixa'!$I$8:$I$207)</f>
        <v>0</v>
      </c>
      <c r="E25" s="55" t="n">
        <f aca="false">SUMPRODUCT(('💰 Fluxo de Caixa'!$E$8:$E$207="Despesas Operacionais")*(MONTH('💰 Fluxo de Caixa'!$B$8:$B$207)=3)*(YEAR('💰 Fluxo de Caixa'!$B$8:$B$207)=$C$5)*'💰 Fluxo de Caixa'!$I$8:$I$207)</f>
        <v>0</v>
      </c>
      <c r="F25" s="55" t="n">
        <f aca="false">SUMPRODUCT(('💰 Fluxo de Caixa'!$E$8:$E$207="Despesas Operacionais")*(MONTH('💰 Fluxo de Caixa'!$B$8:$B$207)=4)*(YEAR('💰 Fluxo de Caixa'!$B$8:$B$207)=$C$5)*'💰 Fluxo de Caixa'!$I$8:$I$207)</f>
        <v>5077</v>
      </c>
      <c r="G25" s="55" t="n">
        <f aca="false">SUMPRODUCT(('💰 Fluxo de Caixa'!$E$8:$E$207="Despesas Operacionais")*(MONTH('💰 Fluxo de Caixa'!$B$8:$B$207)=5)*(YEAR('💰 Fluxo de Caixa'!$B$8:$B$207)=$C$5)*'💰 Fluxo de Caixa'!$I$8:$I$207)</f>
        <v>0</v>
      </c>
      <c r="H25" s="55" t="n">
        <f aca="false">SUMPRODUCT(('💰 Fluxo de Caixa'!$E$8:$E$207="Despesas Operacionais")*(MONTH('💰 Fluxo de Caixa'!$B$8:$B$207)=6)*(YEAR('💰 Fluxo de Caixa'!$B$8:$B$207)=$C$5)*'💰 Fluxo de Caixa'!$I$8:$I$207)</f>
        <v>0</v>
      </c>
      <c r="I25" s="55" t="n">
        <f aca="false">SUMPRODUCT(('💰 Fluxo de Caixa'!$E$8:$E$207="Despesas Operacionais")*(MONTH('💰 Fluxo de Caixa'!$B$8:$B$207)=7)*(YEAR('💰 Fluxo de Caixa'!$B$8:$B$207)=$C$5)*'💰 Fluxo de Caixa'!$I$8:$I$207)</f>
        <v>0</v>
      </c>
      <c r="J25" s="55" t="n">
        <f aca="false">SUMPRODUCT(('💰 Fluxo de Caixa'!$E$8:$E$207="Despesas Operacionais")*(MONTH('💰 Fluxo de Caixa'!$B$8:$B$207)=8)*(YEAR('💰 Fluxo de Caixa'!$B$8:$B$207)=$C$5)*'💰 Fluxo de Caixa'!$I$8:$I$207)</f>
        <v>0</v>
      </c>
      <c r="K25" s="55" t="n">
        <f aca="false">SUMPRODUCT(('💰 Fluxo de Caixa'!$E$8:$E$207="Despesas Operacionais")*(MONTH('💰 Fluxo de Caixa'!$B$8:$B$207)=9)*(YEAR('💰 Fluxo de Caixa'!$B$8:$B$207)=$C$5)*'💰 Fluxo de Caixa'!$I$8:$I$207)</f>
        <v>0</v>
      </c>
      <c r="L25" s="55" t="n">
        <f aca="false">SUMPRODUCT(('💰 Fluxo de Caixa'!$E$8:$E$207="Despesas Operacionais")*(MONTH('💰 Fluxo de Caixa'!$B$8:$B$207)=10)*(YEAR('💰 Fluxo de Caixa'!$B$8:$B$207)=$C$5)*'💰 Fluxo de Caixa'!$I$8:$I$207)</f>
        <v>0</v>
      </c>
      <c r="M25" s="55" t="n">
        <f aca="false">SUMPRODUCT(('💰 Fluxo de Caixa'!$E$8:$E$207="Despesas Operacionais")*(MONTH('💰 Fluxo de Caixa'!$B$8:$B$207)=11)*(YEAR('💰 Fluxo de Caixa'!$B$8:$B$207)=$C$5)*'💰 Fluxo de Caixa'!$I$8:$I$207)</f>
        <v>0</v>
      </c>
      <c r="N25" s="55" t="n">
        <f aca="false">SUMPRODUCT(('💰 Fluxo de Caixa'!$E$8:$E$207="Despesas Operacionais")*(MONTH('💰 Fluxo de Caixa'!$B$8:$B$207)=12)*(YEAR('💰 Fluxo de Caixa'!$B$8:$B$207)=$C$5)*'💰 Fluxo de Caixa'!$I$8:$I$207)</f>
        <v>0</v>
      </c>
      <c r="O25" s="55" t="n">
        <f aca="false">SUM(C25:N25)</f>
        <v>5077</v>
      </c>
    </row>
    <row r="26" customFormat="false" ht="15" hidden="false" customHeight="false" outlineLevel="0" collapsed="false">
      <c r="B26" s="51" t="s">
        <v>231</v>
      </c>
      <c r="C26" s="52" t="n">
        <f aca="false">SUMPRODUCT(('💰 Fluxo de Caixa'!$F$8:$F$207="Tráfego Pago / Marketing")*(MONTH('💰 Fluxo de Caixa'!$B$8:$B$207)=1)*(YEAR('💰 Fluxo de Caixa'!$B$8:$B$207)=$C$5)*'💰 Fluxo de Caixa'!$I$8:$I$207)</f>
        <v>0</v>
      </c>
      <c r="D26" s="52" t="n">
        <f aca="false">SUMPRODUCT(('💰 Fluxo de Caixa'!$F$8:$F$207="Tráfego Pago / Marketing")*(MONTH('💰 Fluxo de Caixa'!$B$8:$B$207)=2)*(YEAR('💰 Fluxo de Caixa'!$B$8:$B$207)=$C$5)*'💰 Fluxo de Caixa'!$I$8:$I$207)</f>
        <v>0</v>
      </c>
      <c r="E26" s="52" t="n">
        <f aca="false">SUMPRODUCT(('💰 Fluxo de Caixa'!$F$8:$F$207="Tráfego Pago / Marketing")*(MONTH('💰 Fluxo de Caixa'!$B$8:$B$207)=3)*(YEAR('💰 Fluxo de Caixa'!$B$8:$B$207)=$C$5)*'💰 Fluxo de Caixa'!$I$8:$I$207)</f>
        <v>0</v>
      </c>
      <c r="F26" s="52" t="n">
        <f aca="false">SUMPRODUCT(('💰 Fluxo de Caixa'!$F$8:$F$207="Tráfego Pago / Marketing")*(MONTH('💰 Fluxo de Caixa'!$B$8:$B$207)=4)*(YEAR('💰 Fluxo de Caixa'!$B$8:$B$207)=$C$5)*'💰 Fluxo de Caixa'!$I$8:$I$207)</f>
        <v>800</v>
      </c>
      <c r="G26" s="52" t="n">
        <f aca="false">SUMPRODUCT(('💰 Fluxo de Caixa'!$F$8:$F$207="Tráfego Pago / Marketing")*(MONTH('💰 Fluxo de Caixa'!$B$8:$B$207)=5)*(YEAR('💰 Fluxo de Caixa'!$B$8:$B$207)=$C$5)*'💰 Fluxo de Caixa'!$I$8:$I$207)</f>
        <v>0</v>
      </c>
      <c r="H26" s="52" t="n">
        <f aca="false">SUMPRODUCT(('💰 Fluxo de Caixa'!$F$8:$F$207="Tráfego Pago / Marketing")*(MONTH('💰 Fluxo de Caixa'!$B$8:$B$207)=6)*(YEAR('💰 Fluxo de Caixa'!$B$8:$B$207)=$C$5)*'💰 Fluxo de Caixa'!$I$8:$I$207)</f>
        <v>0</v>
      </c>
      <c r="I26" s="52" t="n">
        <f aca="false">SUMPRODUCT(('💰 Fluxo de Caixa'!$F$8:$F$207="Tráfego Pago / Marketing")*(MONTH('💰 Fluxo de Caixa'!$B$8:$B$207)=7)*(YEAR('💰 Fluxo de Caixa'!$B$8:$B$207)=$C$5)*'💰 Fluxo de Caixa'!$I$8:$I$207)</f>
        <v>0</v>
      </c>
      <c r="J26" s="52" t="n">
        <f aca="false">SUMPRODUCT(('💰 Fluxo de Caixa'!$F$8:$F$207="Tráfego Pago / Marketing")*(MONTH('💰 Fluxo de Caixa'!$B$8:$B$207)=8)*(YEAR('💰 Fluxo de Caixa'!$B$8:$B$207)=$C$5)*'💰 Fluxo de Caixa'!$I$8:$I$207)</f>
        <v>0</v>
      </c>
      <c r="K26" s="52" t="n">
        <f aca="false">SUMPRODUCT(('💰 Fluxo de Caixa'!$F$8:$F$207="Tráfego Pago / Marketing")*(MONTH('💰 Fluxo de Caixa'!$B$8:$B$207)=9)*(YEAR('💰 Fluxo de Caixa'!$B$8:$B$207)=$C$5)*'💰 Fluxo de Caixa'!$I$8:$I$207)</f>
        <v>0</v>
      </c>
      <c r="L26" s="52" t="n">
        <f aca="false">SUMPRODUCT(('💰 Fluxo de Caixa'!$F$8:$F$207="Tráfego Pago / Marketing")*(MONTH('💰 Fluxo de Caixa'!$B$8:$B$207)=10)*(YEAR('💰 Fluxo de Caixa'!$B$8:$B$207)=$C$5)*'💰 Fluxo de Caixa'!$I$8:$I$207)</f>
        <v>0</v>
      </c>
      <c r="M26" s="52" t="n">
        <f aca="false">SUMPRODUCT(('💰 Fluxo de Caixa'!$F$8:$F$207="Tráfego Pago / Marketing")*(MONTH('💰 Fluxo de Caixa'!$B$8:$B$207)=11)*(YEAR('💰 Fluxo de Caixa'!$B$8:$B$207)=$C$5)*'💰 Fluxo de Caixa'!$I$8:$I$207)</f>
        <v>0</v>
      </c>
      <c r="N26" s="52" t="n">
        <f aca="false">SUMPRODUCT(('💰 Fluxo de Caixa'!$F$8:$F$207="Tráfego Pago / Marketing")*(MONTH('💰 Fluxo de Caixa'!$B$8:$B$207)=12)*(YEAR('💰 Fluxo de Caixa'!$B$8:$B$207)=$C$5)*'💰 Fluxo de Caixa'!$I$8:$I$207)</f>
        <v>0</v>
      </c>
      <c r="O26" s="53" t="n">
        <f aca="false">SUM(C26:N26)</f>
        <v>800</v>
      </c>
    </row>
    <row r="27" customFormat="false" ht="15" hidden="false" customHeight="false" outlineLevel="0" collapsed="false">
      <c r="B27" s="51" t="s">
        <v>232</v>
      </c>
      <c r="C27" s="52" t="n">
        <f aca="false">SUMPRODUCT(('💰 Fluxo de Caixa'!$F$8:$F$207="Plataforma / Hospedagem")*(MONTH('💰 Fluxo de Caixa'!$B$8:$B$207)=1)*(YEAR('💰 Fluxo de Caixa'!$B$8:$B$207)=$C$5)*'💰 Fluxo de Caixa'!$I$8:$I$207)</f>
        <v>0</v>
      </c>
      <c r="D27" s="52" t="n">
        <f aca="false">SUMPRODUCT(('💰 Fluxo de Caixa'!$F$8:$F$207="Plataforma / Hospedagem")*(MONTH('💰 Fluxo de Caixa'!$B$8:$B$207)=2)*(YEAR('💰 Fluxo de Caixa'!$B$8:$B$207)=$C$5)*'💰 Fluxo de Caixa'!$I$8:$I$207)</f>
        <v>0</v>
      </c>
      <c r="E27" s="52" t="n">
        <f aca="false">SUMPRODUCT(('💰 Fluxo de Caixa'!$F$8:$F$207="Plataforma / Hospedagem")*(MONTH('💰 Fluxo de Caixa'!$B$8:$B$207)=3)*(YEAR('💰 Fluxo de Caixa'!$B$8:$B$207)=$C$5)*'💰 Fluxo de Caixa'!$I$8:$I$207)</f>
        <v>0</v>
      </c>
      <c r="F27" s="52" t="n">
        <f aca="false">SUMPRODUCT(('💰 Fluxo de Caixa'!$F$8:$F$207="Plataforma / Hospedagem")*(MONTH('💰 Fluxo de Caixa'!$B$8:$B$207)=4)*(YEAR('💰 Fluxo de Caixa'!$B$8:$B$207)=$C$5)*'💰 Fluxo de Caixa'!$I$8:$I$207)</f>
        <v>197</v>
      </c>
      <c r="G27" s="52" t="n">
        <f aca="false">SUMPRODUCT(('💰 Fluxo de Caixa'!$F$8:$F$207="Plataforma / Hospedagem")*(MONTH('💰 Fluxo de Caixa'!$B$8:$B$207)=5)*(YEAR('💰 Fluxo de Caixa'!$B$8:$B$207)=$C$5)*'💰 Fluxo de Caixa'!$I$8:$I$207)</f>
        <v>0</v>
      </c>
      <c r="H27" s="52" t="n">
        <f aca="false">SUMPRODUCT(('💰 Fluxo de Caixa'!$F$8:$F$207="Plataforma / Hospedagem")*(MONTH('💰 Fluxo de Caixa'!$B$8:$B$207)=6)*(YEAR('💰 Fluxo de Caixa'!$B$8:$B$207)=$C$5)*'💰 Fluxo de Caixa'!$I$8:$I$207)</f>
        <v>0</v>
      </c>
      <c r="I27" s="52" t="n">
        <f aca="false">SUMPRODUCT(('💰 Fluxo de Caixa'!$F$8:$F$207="Plataforma / Hospedagem")*(MONTH('💰 Fluxo de Caixa'!$B$8:$B$207)=7)*(YEAR('💰 Fluxo de Caixa'!$B$8:$B$207)=$C$5)*'💰 Fluxo de Caixa'!$I$8:$I$207)</f>
        <v>0</v>
      </c>
      <c r="J27" s="52" t="n">
        <f aca="false">SUMPRODUCT(('💰 Fluxo de Caixa'!$F$8:$F$207="Plataforma / Hospedagem")*(MONTH('💰 Fluxo de Caixa'!$B$8:$B$207)=8)*(YEAR('💰 Fluxo de Caixa'!$B$8:$B$207)=$C$5)*'💰 Fluxo de Caixa'!$I$8:$I$207)</f>
        <v>0</v>
      </c>
      <c r="K27" s="52" t="n">
        <f aca="false">SUMPRODUCT(('💰 Fluxo de Caixa'!$F$8:$F$207="Plataforma / Hospedagem")*(MONTH('💰 Fluxo de Caixa'!$B$8:$B$207)=9)*(YEAR('💰 Fluxo de Caixa'!$B$8:$B$207)=$C$5)*'💰 Fluxo de Caixa'!$I$8:$I$207)</f>
        <v>0</v>
      </c>
      <c r="L27" s="52" t="n">
        <f aca="false">SUMPRODUCT(('💰 Fluxo de Caixa'!$F$8:$F$207="Plataforma / Hospedagem")*(MONTH('💰 Fluxo de Caixa'!$B$8:$B$207)=10)*(YEAR('💰 Fluxo de Caixa'!$B$8:$B$207)=$C$5)*'💰 Fluxo de Caixa'!$I$8:$I$207)</f>
        <v>0</v>
      </c>
      <c r="M27" s="52" t="n">
        <f aca="false">SUMPRODUCT(('💰 Fluxo de Caixa'!$F$8:$F$207="Plataforma / Hospedagem")*(MONTH('💰 Fluxo de Caixa'!$B$8:$B$207)=11)*(YEAR('💰 Fluxo de Caixa'!$B$8:$B$207)=$C$5)*'💰 Fluxo de Caixa'!$I$8:$I$207)</f>
        <v>0</v>
      </c>
      <c r="N27" s="52" t="n">
        <f aca="false">SUMPRODUCT(('💰 Fluxo de Caixa'!$F$8:$F$207="Plataforma / Hospedagem")*(MONTH('💰 Fluxo de Caixa'!$B$8:$B$207)=12)*(YEAR('💰 Fluxo de Caixa'!$B$8:$B$207)=$C$5)*'💰 Fluxo de Caixa'!$I$8:$I$207)</f>
        <v>0</v>
      </c>
      <c r="O27" s="53" t="n">
        <f aca="false">SUM(C27:N27)</f>
        <v>197</v>
      </c>
    </row>
    <row r="28" customFormat="false" ht="15" hidden="false" customHeight="false" outlineLevel="0" collapsed="false">
      <c r="B28" s="51" t="s">
        <v>233</v>
      </c>
      <c r="C28" s="52" t="n">
        <f aca="false">SUMPRODUCT(('💰 Fluxo de Caixa'!$F$8:$F$207="Pró-labore / Salários")*(MONTH('💰 Fluxo de Caixa'!$B$8:$B$207)=1)*(YEAR('💰 Fluxo de Caixa'!$B$8:$B$207)=$C$5)*'💰 Fluxo de Caixa'!$I$8:$I$207)</f>
        <v>0</v>
      </c>
      <c r="D28" s="52" t="n">
        <f aca="false">SUMPRODUCT(('💰 Fluxo de Caixa'!$F$8:$F$207="Pró-labore / Salários")*(MONTH('💰 Fluxo de Caixa'!$B$8:$B$207)=2)*(YEAR('💰 Fluxo de Caixa'!$B$8:$B$207)=$C$5)*'💰 Fluxo de Caixa'!$I$8:$I$207)</f>
        <v>0</v>
      </c>
      <c r="E28" s="52" t="n">
        <f aca="false">SUMPRODUCT(('💰 Fluxo de Caixa'!$F$8:$F$207="Pró-labore / Salários")*(MONTH('💰 Fluxo de Caixa'!$B$8:$B$207)=3)*(YEAR('💰 Fluxo de Caixa'!$B$8:$B$207)=$C$5)*'💰 Fluxo de Caixa'!$I$8:$I$207)</f>
        <v>0</v>
      </c>
      <c r="F28" s="52" t="n">
        <f aca="false">SUMPRODUCT(('💰 Fluxo de Caixa'!$F$8:$F$207="Pró-labore / Salários")*(MONTH('💰 Fluxo de Caixa'!$B$8:$B$207)=4)*(YEAR('💰 Fluxo de Caixa'!$B$8:$B$207)=$C$5)*'💰 Fluxo de Caixa'!$I$8:$I$207)</f>
        <v>3500</v>
      </c>
      <c r="G28" s="52" t="n">
        <f aca="false">SUMPRODUCT(('💰 Fluxo de Caixa'!$F$8:$F$207="Pró-labore / Salários")*(MONTH('💰 Fluxo de Caixa'!$B$8:$B$207)=5)*(YEAR('💰 Fluxo de Caixa'!$B$8:$B$207)=$C$5)*'💰 Fluxo de Caixa'!$I$8:$I$207)</f>
        <v>0</v>
      </c>
      <c r="H28" s="52" t="n">
        <f aca="false">SUMPRODUCT(('💰 Fluxo de Caixa'!$F$8:$F$207="Pró-labore / Salários")*(MONTH('💰 Fluxo de Caixa'!$B$8:$B$207)=6)*(YEAR('💰 Fluxo de Caixa'!$B$8:$B$207)=$C$5)*'💰 Fluxo de Caixa'!$I$8:$I$207)</f>
        <v>0</v>
      </c>
      <c r="I28" s="52" t="n">
        <f aca="false">SUMPRODUCT(('💰 Fluxo de Caixa'!$F$8:$F$207="Pró-labore / Salários")*(MONTH('💰 Fluxo de Caixa'!$B$8:$B$207)=7)*(YEAR('💰 Fluxo de Caixa'!$B$8:$B$207)=$C$5)*'💰 Fluxo de Caixa'!$I$8:$I$207)</f>
        <v>0</v>
      </c>
      <c r="J28" s="52" t="n">
        <f aca="false">SUMPRODUCT(('💰 Fluxo de Caixa'!$F$8:$F$207="Pró-labore / Salários")*(MONTH('💰 Fluxo de Caixa'!$B$8:$B$207)=8)*(YEAR('💰 Fluxo de Caixa'!$B$8:$B$207)=$C$5)*'💰 Fluxo de Caixa'!$I$8:$I$207)</f>
        <v>0</v>
      </c>
      <c r="K28" s="52" t="n">
        <f aca="false">SUMPRODUCT(('💰 Fluxo de Caixa'!$F$8:$F$207="Pró-labore / Salários")*(MONTH('💰 Fluxo de Caixa'!$B$8:$B$207)=9)*(YEAR('💰 Fluxo de Caixa'!$B$8:$B$207)=$C$5)*'💰 Fluxo de Caixa'!$I$8:$I$207)</f>
        <v>0</v>
      </c>
      <c r="L28" s="52" t="n">
        <f aca="false">SUMPRODUCT(('💰 Fluxo de Caixa'!$F$8:$F$207="Pró-labore / Salários")*(MONTH('💰 Fluxo de Caixa'!$B$8:$B$207)=10)*(YEAR('💰 Fluxo de Caixa'!$B$8:$B$207)=$C$5)*'💰 Fluxo de Caixa'!$I$8:$I$207)</f>
        <v>0</v>
      </c>
      <c r="M28" s="52" t="n">
        <f aca="false">SUMPRODUCT(('💰 Fluxo de Caixa'!$F$8:$F$207="Pró-labore / Salários")*(MONTH('💰 Fluxo de Caixa'!$B$8:$B$207)=11)*(YEAR('💰 Fluxo de Caixa'!$B$8:$B$207)=$C$5)*'💰 Fluxo de Caixa'!$I$8:$I$207)</f>
        <v>0</v>
      </c>
      <c r="N28" s="52" t="n">
        <f aca="false">SUMPRODUCT(('💰 Fluxo de Caixa'!$F$8:$F$207="Pró-labore / Salários")*(MONTH('💰 Fluxo de Caixa'!$B$8:$B$207)=12)*(YEAR('💰 Fluxo de Caixa'!$B$8:$B$207)=$C$5)*'💰 Fluxo de Caixa'!$I$8:$I$207)</f>
        <v>0</v>
      </c>
      <c r="O28" s="53" t="n">
        <f aca="false">SUM(C28:N28)</f>
        <v>3500</v>
      </c>
    </row>
    <row r="29" customFormat="false" ht="15" hidden="false" customHeight="false" outlineLevel="0" collapsed="false">
      <c r="B29" s="51" t="s">
        <v>234</v>
      </c>
      <c r="C29" s="52" t="n">
        <f aca="false">SUMPRODUCT(('💰 Fluxo de Caixa'!$F$8:$F$207="Aluguel / Estoque")*(MONTH('💰 Fluxo de Caixa'!$B$8:$B$207)=1)*(YEAR('💰 Fluxo de Caixa'!$B$8:$B$207)=$C$5)*'💰 Fluxo de Caixa'!$I$8:$I$207)</f>
        <v>0</v>
      </c>
      <c r="D29" s="52" t="n">
        <f aca="false">SUMPRODUCT(('💰 Fluxo de Caixa'!$F$8:$F$207="Aluguel / Estoque")*(MONTH('💰 Fluxo de Caixa'!$B$8:$B$207)=2)*(YEAR('💰 Fluxo de Caixa'!$B$8:$B$207)=$C$5)*'💰 Fluxo de Caixa'!$I$8:$I$207)</f>
        <v>0</v>
      </c>
      <c r="E29" s="52" t="n">
        <f aca="false">SUMPRODUCT(('💰 Fluxo de Caixa'!$F$8:$F$207="Aluguel / Estoque")*(MONTH('💰 Fluxo de Caixa'!$B$8:$B$207)=3)*(YEAR('💰 Fluxo de Caixa'!$B$8:$B$207)=$C$5)*'💰 Fluxo de Caixa'!$I$8:$I$207)</f>
        <v>0</v>
      </c>
      <c r="F29" s="52" t="n">
        <f aca="false">SUMPRODUCT(('💰 Fluxo de Caixa'!$F$8:$F$207="Aluguel / Estoque")*(MONTH('💰 Fluxo de Caixa'!$B$8:$B$207)=4)*(YEAR('💰 Fluxo de Caixa'!$B$8:$B$207)=$C$5)*'💰 Fluxo de Caixa'!$I$8:$I$207)</f>
        <v>0</v>
      </c>
      <c r="G29" s="52" t="n">
        <f aca="false">SUMPRODUCT(('💰 Fluxo de Caixa'!$F$8:$F$207="Aluguel / Estoque")*(MONTH('💰 Fluxo de Caixa'!$B$8:$B$207)=5)*(YEAR('💰 Fluxo de Caixa'!$B$8:$B$207)=$C$5)*'💰 Fluxo de Caixa'!$I$8:$I$207)</f>
        <v>0</v>
      </c>
      <c r="H29" s="52" t="n">
        <f aca="false">SUMPRODUCT(('💰 Fluxo de Caixa'!$F$8:$F$207="Aluguel / Estoque")*(MONTH('💰 Fluxo de Caixa'!$B$8:$B$207)=6)*(YEAR('💰 Fluxo de Caixa'!$B$8:$B$207)=$C$5)*'💰 Fluxo de Caixa'!$I$8:$I$207)</f>
        <v>0</v>
      </c>
      <c r="I29" s="52" t="n">
        <f aca="false">SUMPRODUCT(('💰 Fluxo de Caixa'!$F$8:$F$207="Aluguel / Estoque")*(MONTH('💰 Fluxo de Caixa'!$B$8:$B$207)=7)*(YEAR('💰 Fluxo de Caixa'!$B$8:$B$207)=$C$5)*'💰 Fluxo de Caixa'!$I$8:$I$207)</f>
        <v>0</v>
      </c>
      <c r="J29" s="52" t="n">
        <f aca="false">SUMPRODUCT(('💰 Fluxo de Caixa'!$F$8:$F$207="Aluguel / Estoque")*(MONTH('💰 Fluxo de Caixa'!$B$8:$B$207)=8)*(YEAR('💰 Fluxo de Caixa'!$B$8:$B$207)=$C$5)*'💰 Fluxo de Caixa'!$I$8:$I$207)</f>
        <v>0</v>
      </c>
      <c r="K29" s="52" t="n">
        <f aca="false">SUMPRODUCT(('💰 Fluxo de Caixa'!$F$8:$F$207="Aluguel / Estoque")*(MONTH('💰 Fluxo de Caixa'!$B$8:$B$207)=9)*(YEAR('💰 Fluxo de Caixa'!$B$8:$B$207)=$C$5)*'💰 Fluxo de Caixa'!$I$8:$I$207)</f>
        <v>0</v>
      </c>
      <c r="L29" s="52" t="n">
        <f aca="false">SUMPRODUCT(('💰 Fluxo de Caixa'!$F$8:$F$207="Aluguel / Estoque")*(MONTH('💰 Fluxo de Caixa'!$B$8:$B$207)=10)*(YEAR('💰 Fluxo de Caixa'!$B$8:$B$207)=$C$5)*'💰 Fluxo de Caixa'!$I$8:$I$207)</f>
        <v>0</v>
      </c>
      <c r="M29" s="52" t="n">
        <f aca="false">SUMPRODUCT(('💰 Fluxo de Caixa'!$F$8:$F$207="Aluguel / Estoque")*(MONTH('💰 Fluxo de Caixa'!$B$8:$B$207)=11)*(YEAR('💰 Fluxo de Caixa'!$B$8:$B$207)=$C$5)*'💰 Fluxo de Caixa'!$I$8:$I$207)</f>
        <v>0</v>
      </c>
      <c r="N29" s="52" t="n">
        <f aca="false">SUMPRODUCT(('💰 Fluxo de Caixa'!$F$8:$F$207="Aluguel / Estoque")*(MONTH('💰 Fluxo de Caixa'!$B$8:$B$207)=12)*(YEAR('💰 Fluxo de Caixa'!$B$8:$B$207)=$C$5)*'💰 Fluxo de Caixa'!$I$8:$I$207)</f>
        <v>0</v>
      </c>
      <c r="O29" s="53" t="n">
        <f aca="false">SUM(C29:N29)</f>
        <v>0</v>
      </c>
    </row>
    <row r="30" customFormat="false" ht="15" hidden="false" customHeight="false" outlineLevel="0" collapsed="false">
      <c r="B30" s="51" t="s">
        <v>235</v>
      </c>
      <c r="C30" s="52" t="n">
        <f aca="false">SUMPRODUCT(('💰 Fluxo de Caixa'!$F$8:$F$207="Contabilidade / Honorários")*(MONTH('💰 Fluxo de Caixa'!$B$8:$B$207)=1)*(YEAR('💰 Fluxo de Caixa'!$B$8:$B$207)=$C$5)*'💰 Fluxo de Caixa'!$I$8:$I$207)</f>
        <v>0</v>
      </c>
      <c r="D30" s="52" t="n">
        <f aca="false">SUMPRODUCT(('💰 Fluxo de Caixa'!$F$8:$F$207="Contabilidade / Honorários")*(MONTH('💰 Fluxo de Caixa'!$B$8:$B$207)=2)*(YEAR('💰 Fluxo de Caixa'!$B$8:$B$207)=$C$5)*'💰 Fluxo de Caixa'!$I$8:$I$207)</f>
        <v>0</v>
      </c>
      <c r="E30" s="52" t="n">
        <f aca="false">SUMPRODUCT(('💰 Fluxo de Caixa'!$F$8:$F$207="Contabilidade / Honorários")*(MONTH('💰 Fluxo de Caixa'!$B$8:$B$207)=3)*(YEAR('💰 Fluxo de Caixa'!$B$8:$B$207)=$C$5)*'💰 Fluxo de Caixa'!$I$8:$I$207)</f>
        <v>0</v>
      </c>
      <c r="F30" s="52" t="n">
        <f aca="false">SUMPRODUCT(('💰 Fluxo de Caixa'!$F$8:$F$207="Contabilidade / Honorários")*(MONTH('💰 Fluxo de Caixa'!$B$8:$B$207)=4)*(YEAR('💰 Fluxo de Caixa'!$B$8:$B$207)=$C$5)*'💰 Fluxo de Caixa'!$I$8:$I$207)</f>
        <v>580</v>
      </c>
      <c r="G30" s="52" t="n">
        <f aca="false">SUMPRODUCT(('💰 Fluxo de Caixa'!$F$8:$F$207="Contabilidade / Honorários")*(MONTH('💰 Fluxo de Caixa'!$B$8:$B$207)=5)*(YEAR('💰 Fluxo de Caixa'!$B$8:$B$207)=$C$5)*'💰 Fluxo de Caixa'!$I$8:$I$207)</f>
        <v>0</v>
      </c>
      <c r="H30" s="52" t="n">
        <f aca="false">SUMPRODUCT(('💰 Fluxo de Caixa'!$F$8:$F$207="Contabilidade / Honorários")*(MONTH('💰 Fluxo de Caixa'!$B$8:$B$207)=6)*(YEAR('💰 Fluxo de Caixa'!$B$8:$B$207)=$C$5)*'💰 Fluxo de Caixa'!$I$8:$I$207)</f>
        <v>0</v>
      </c>
      <c r="I30" s="52" t="n">
        <f aca="false">SUMPRODUCT(('💰 Fluxo de Caixa'!$F$8:$F$207="Contabilidade / Honorários")*(MONTH('💰 Fluxo de Caixa'!$B$8:$B$207)=7)*(YEAR('💰 Fluxo de Caixa'!$B$8:$B$207)=$C$5)*'💰 Fluxo de Caixa'!$I$8:$I$207)</f>
        <v>0</v>
      </c>
      <c r="J30" s="52" t="n">
        <f aca="false">SUMPRODUCT(('💰 Fluxo de Caixa'!$F$8:$F$207="Contabilidade / Honorários")*(MONTH('💰 Fluxo de Caixa'!$B$8:$B$207)=8)*(YEAR('💰 Fluxo de Caixa'!$B$8:$B$207)=$C$5)*'💰 Fluxo de Caixa'!$I$8:$I$207)</f>
        <v>0</v>
      </c>
      <c r="K30" s="52" t="n">
        <f aca="false">SUMPRODUCT(('💰 Fluxo de Caixa'!$F$8:$F$207="Contabilidade / Honorários")*(MONTH('💰 Fluxo de Caixa'!$B$8:$B$207)=9)*(YEAR('💰 Fluxo de Caixa'!$B$8:$B$207)=$C$5)*'💰 Fluxo de Caixa'!$I$8:$I$207)</f>
        <v>0</v>
      </c>
      <c r="L30" s="52" t="n">
        <f aca="false">SUMPRODUCT(('💰 Fluxo de Caixa'!$F$8:$F$207="Contabilidade / Honorários")*(MONTH('💰 Fluxo de Caixa'!$B$8:$B$207)=10)*(YEAR('💰 Fluxo de Caixa'!$B$8:$B$207)=$C$5)*'💰 Fluxo de Caixa'!$I$8:$I$207)</f>
        <v>0</v>
      </c>
      <c r="M30" s="52" t="n">
        <f aca="false">SUMPRODUCT(('💰 Fluxo de Caixa'!$F$8:$F$207="Contabilidade / Honorários")*(MONTH('💰 Fluxo de Caixa'!$B$8:$B$207)=11)*(YEAR('💰 Fluxo de Caixa'!$B$8:$B$207)=$C$5)*'💰 Fluxo de Caixa'!$I$8:$I$207)</f>
        <v>0</v>
      </c>
      <c r="N30" s="52" t="n">
        <f aca="false">SUMPRODUCT(('💰 Fluxo de Caixa'!$F$8:$F$207="Contabilidade / Honorários")*(MONTH('💰 Fluxo de Caixa'!$B$8:$B$207)=12)*(YEAR('💰 Fluxo de Caixa'!$B$8:$B$207)=$C$5)*'💰 Fluxo de Caixa'!$I$8:$I$207)</f>
        <v>0</v>
      </c>
      <c r="O30" s="53" t="n">
        <f aca="false">SUM(C30:N30)</f>
        <v>580</v>
      </c>
    </row>
    <row r="31" customFormat="false" ht="15" hidden="false" customHeight="false" outlineLevel="0" collapsed="false">
      <c r="B31" s="51" t="s">
        <v>236</v>
      </c>
      <c r="C31" s="52" t="n">
        <f aca="false">SUMPRODUCT(('💰 Fluxo de Caixa'!$F$8:$F$207="Outras Despesas Adm.")*(MONTH('💰 Fluxo de Caixa'!$B$8:$B$207)=1)*(YEAR('💰 Fluxo de Caixa'!$B$8:$B$207)=$C$5)*'💰 Fluxo de Caixa'!$I$8:$I$207)</f>
        <v>0</v>
      </c>
      <c r="D31" s="52" t="n">
        <f aca="false">SUMPRODUCT(('💰 Fluxo de Caixa'!$F$8:$F$207="Outras Despesas Adm.")*(MONTH('💰 Fluxo de Caixa'!$B$8:$B$207)=2)*(YEAR('💰 Fluxo de Caixa'!$B$8:$B$207)=$C$5)*'💰 Fluxo de Caixa'!$I$8:$I$207)</f>
        <v>0</v>
      </c>
      <c r="E31" s="52" t="n">
        <f aca="false">SUMPRODUCT(('💰 Fluxo de Caixa'!$F$8:$F$207="Outras Despesas Adm.")*(MONTH('💰 Fluxo de Caixa'!$B$8:$B$207)=3)*(YEAR('💰 Fluxo de Caixa'!$B$8:$B$207)=$C$5)*'💰 Fluxo de Caixa'!$I$8:$I$207)</f>
        <v>0</v>
      </c>
      <c r="F31" s="52" t="n">
        <f aca="false">SUMPRODUCT(('💰 Fluxo de Caixa'!$F$8:$F$207="Outras Despesas Adm.")*(MONTH('💰 Fluxo de Caixa'!$B$8:$B$207)=4)*(YEAR('💰 Fluxo de Caixa'!$B$8:$B$207)=$C$5)*'💰 Fluxo de Caixa'!$I$8:$I$207)</f>
        <v>0</v>
      </c>
      <c r="G31" s="52" t="n">
        <f aca="false">SUMPRODUCT(('💰 Fluxo de Caixa'!$F$8:$F$207="Outras Despesas Adm.")*(MONTH('💰 Fluxo de Caixa'!$B$8:$B$207)=5)*(YEAR('💰 Fluxo de Caixa'!$B$8:$B$207)=$C$5)*'💰 Fluxo de Caixa'!$I$8:$I$207)</f>
        <v>0</v>
      </c>
      <c r="H31" s="52" t="n">
        <f aca="false">SUMPRODUCT(('💰 Fluxo de Caixa'!$F$8:$F$207="Outras Despesas Adm.")*(MONTH('💰 Fluxo de Caixa'!$B$8:$B$207)=6)*(YEAR('💰 Fluxo de Caixa'!$B$8:$B$207)=$C$5)*'💰 Fluxo de Caixa'!$I$8:$I$207)</f>
        <v>0</v>
      </c>
      <c r="I31" s="52" t="n">
        <f aca="false">SUMPRODUCT(('💰 Fluxo de Caixa'!$F$8:$F$207="Outras Despesas Adm.")*(MONTH('💰 Fluxo de Caixa'!$B$8:$B$207)=7)*(YEAR('💰 Fluxo de Caixa'!$B$8:$B$207)=$C$5)*'💰 Fluxo de Caixa'!$I$8:$I$207)</f>
        <v>0</v>
      </c>
      <c r="J31" s="52" t="n">
        <f aca="false">SUMPRODUCT(('💰 Fluxo de Caixa'!$F$8:$F$207="Outras Despesas Adm.")*(MONTH('💰 Fluxo de Caixa'!$B$8:$B$207)=8)*(YEAR('💰 Fluxo de Caixa'!$B$8:$B$207)=$C$5)*'💰 Fluxo de Caixa'!$I$8:$I$207)</f>
        <v>0</v>
      </c>
      <c r="K31" s="52" t="n">
        <f aca="false">SUMPRODUCT(('💰 Fluxo de Caixa'!$F$8:$F$207="Outras Despesas Adm.")*(MONTH('💰 Fluxo de Caixa'!$B$8:$B$207)=9)*(YEAR('💰 Fluxo de Caixa'!$B$8:$B$207)=$C$5)*'💰 Fluxo de Caixa'!$I$8:$I$207)</f>
        <v>0</v>
      </c>
      <c r="L31" s="52" t="n">
        <f aca="false">SUMPRODUCT(('💰 Fluxo de Caixa'!$F$8:$F$207="Outras Despesas Adm.")*(MONTH('💰 Fluxo de Caixa'!$B$8:$B$207)=10)*(YEAR('💰 Fluxo de Caixa'!$B$8:$B$207)=$C$5)*'💰 Fluxo de Caixa'!$I$8:$I$207)</f>
        <v>0</v>
      </c>
      <c r="M31" s="52" t="n">
        <f aca="false">SUMPRODUCT(('💰 Fluxo de Caixa'!$F$8:$F$207="Outras Despesas Adm.")*(MONTH('💰 Fluxo de Caixa'!$B$8:$B$207)=11)*(YEAR('💰 Fluxo de Caixa'!$B$8:$B$207)=$C$5)*'💰 Fluxo de Caixa'!$I$8:$I$207)</f>
        <v>0</v>
      </c>
      <c r="N31" s="52" t="n">
        <f aca="false">SUMPRODUCT(('💰 Fluxo de Caixa'!$F$8:$F$207="Outras Despesas Adm.")*(MONTH('💰 Fluxo de Caixa'!$B$8:$B$207)=12)*(YEAR('💰 Fluxo de Caixa'!$B$8:$B$207)=$C$5)*'💰 Fluxo de Caixa'!$I$8:$I$207)</f>
        <v>0</v>
      </c>
      <c r="O31" s="53" t="n">
        <f aca="false">SUM(C31:N31)</f>
        <v>0</v>
      </c>
    </row>
    <row r="32" customFormat="false" ht="15" hidden="false" customHeight="false" outlineLevel="0" collapsed="false">
      <c r="B32" s="54" t="s">
        <v>237</v>
      </c>
      <c r="C32" s="55" t="n">
        <f aca="false">SUMPRODUCT(('💰 Fluxo de Caixa'!$E$8:$E$207="Despesas Financeiras")*(MONTH('💰 Fluxo de Caixa'!$B$8:$B$207)=1)*(YEAR('💰 Fluxo de Caixa'!$B$8:$B$207)=$C$5)*'💰 Fluxo de Caixa'!$I$8:$I$207)</f>
        <v>0</v>
      </c>
      <c r="D32" s="55" t="n">
        <f aca="false">SUMPRODUCT(('💰 Fluxo de Caixa'!$E$8:$E$207="Despesas Financeiras")*(MONTH('💰 Fluxo de Caixa'!$B$8:$B$207)=2)*(YEAR('💰 Fluxo de Caixa'!$B$8:$B$207)=$C$5)*'💰 Fluxo de Caixa'!$I$8:$I$207)</f>
        <v>0</v>
      </c>
      <c r="E32" s="55" t="n">
        <f aca="false">SUMPRODUCT(('💰 Fluxo de Caixa'!$E$8:$E$207="Despesas Financeiras")*(MONTH('💰 Fluxo de Caixa'!$B$8:$B$207)=3)*(YEAR('💰 Fluxo de Caixa'!$B$8:$B$207)=$C$5)*'💰 Fluxo de Caixa'!$I$8:$I$207)</f>
        <v>0</v>
      </c>
      <c r="F32" s="55" t="n">
        <f aca="false">SUMPRODUCT(('💰 Fluxo de Caixa'!$E$8:$E$207="Despesas Financeiras")*(MONTH('💰 Fluxo de Caixa'!$B$8:$B$207)=4)*(YEAR('💰 Fluxo de Caixa'!$B$8:$B$207)=$C$5)*'💰 Fluxo de Caixa'!$I$8:$I$207)</f>
        <v>45</v>
      </c>
      <c r="G32" s="55" t="n">
        <f aca="false">SUMPRODUCT(('💰 Fluxo de Caixa'!$E$8:$E$207="Despesas Financeiras")*(MONTH('💰 Fluxo de Caixa'!$B$8:$B$207)=5)*(YEAR('💰 Fluxo de Caixa'!$B$8:$B$207)=$C$5)*'💰 Fluxo de Caixa'!$I$8:$I$207)</f>
        <v>0</v>
      </c>
      <c r="H32" s="55" t="n">
        <f aca="false">SUMPRODUCT(('💰 Fluxo de Caixa'!$E$8:$E$207="Despesas Financeiras")*(MONTH('💰 Fluxo de Caixa'!$B$8:$B$207)=6)*(YEAR('💰 Fluxo de Caixa'!$B$8:$B$207)=$C$5)*'💰 Fluxo de Caixa'!$I$8:$I$207)</f>
        <v>0</v>
      </c>
      <c r="I32" s="55" t="n">
        <f aca="false">SUMPRODUCT(('💰 Fluxo de Caixa'!$E$8:$E$207="Despesas Financeiras")*(MONTH('💰 Fluxo de Caixa'!$B$8:$B$207)=7)*(YEAR('💰 Fluxo de Caixa'!$B$8:$B$207)=$C$5)*'💰 Fluxo de Caixa'!$I$8:$I$207)</f>
        <v>0</v>
      </c>
      <c r="J32" s="55" t="n">
        <f aca="false">SUMPRODUCT(('💰 Fluxo de Caixa'!$E$8:$E$207="Despesas Financeiras")*(MONTH('💰 Fluxo de Caixa'!$B$8:$B$207)=8)*(YEAR('💰 Fluxo de Caixa'!$B$8:$B$207)=$C$5)*'💰 Fluxo de Caixa'!$I$8:$I$207)</f>
        <v>0</v>
      </c>
      <c r="K32" s="55" t="n">
        <f aca="false">SUMPRODUCT(('💰 Fluxo de Caixa'!$E$8:$E$207="Despesas Financeiras")*(MONTH('💰 Fluxo de Caixa'!$B$8:$B$207)=9)*(YEAR('💰 Fluxo de Caixa'!$B$8:$B$207)=$C$5)*'💰 Fluxo de Caixa'!$I$8:$I$207)</f>
        <v>0</v>
      </c>
      <c r="L32" s="55" t="n">
        <f aca="false">SUMPRODUCT(('💰 Fluxo de Caixa'!$E$8:$E$207="Despesas Financeiras")*(MONTH('💰 Fluxo de Caixa'!$B$8:$B$207)=10)*(YEAR('💰 Fluxo de Caixa'!$B$8:$B$207)=$C$5)*'💰 Fluxo de Caixa'!$I$8:$I$207)</f>
        <v>0</v>
      </c>
      <c r="M32" s="55" t="n">
        <f aca="false">SUMPRODUCT(('💰 Fluxo de Caixa'!$E$8:$E$207="Despesas Financeiras")*(MONTH('💰 Fluxo de Caixa'!$B$8:$B$207)=11)*(YEAR('💰 Fluxo de Caixa'!$B$8:$B$207)=$C$5)*'💰 Fluxo de Caixa'!$I$8:$I$207)</f>
        <v>0</v>
      </c>
      <c r="N32" s="55" t="n">
        <f aca="false">SUMPRODUCT(('💰 Fluxo de Caixa'!$E$8:$E$207="Despesas Financeiras")*(MONTH('💰 Fluxo de Caixa'!$B$8:$B$207)=12)*(YEAR('💰 Fluxo de Caixa'!$B$8:$B$207)=$C$5)*'💰 Fluxo de Caixa'!$I$8:$I$207)</f>
        <v>0</v>
      </c>
      <c r="O32" s="55" t="n">
        <f aca="false">SUM(C32:N32)</f>
        <v>45</v>
      </c>
    </row>
    <row r="33" customFormat="false" ht="15" hidden="false" customHeight="false" outlineLevel="0" collapsed="false">
      <c r="B33" s="51" t="s">
        <v>238</v>
      </c>
      <c r="C33" s="52" t="n">
        <f aca="false">SUMPRODUCT(('💰 Fluxo de Caixa'!$F$8:$F$207="Tarifas Bancárias")*(MONTH('💰 Fluxo de Caixa'!$B$8:$B$207)=1)*(YEAR('💰 Fluxo de Caixa'!$B$8:$B$207)=$C$5)*'💰 Fluxo de Caixa'!$I$8:$I$207)</f>
        <v>0</v>
      </c>
      <c r="D33" s="52" t="n">
        <f aca="false">SUMPRODUCT(('💰 Fluxo de Caixa'!$F$8:$F$207="Tarifas Bancárias")*(MONTH('💰 Fluxo de Caixa'!$B$8:$B$207)=2)*(YEAR('💰 Fluxo de Caixa'!$B$8:$B$207)=$C$5)*'💰 Fluxo de Caixa'!$I$8:$I$207)</f>
        <v>0</v>
      </c>
      <c r="E33" s="52" t="n">
        <f aca="false">SUMPRODUCT(('💰 Fluxo de Caixa'!$F$8:$F$207="Tarifas Bancárias")*(MONTH('💰 Fluxo de Caixa'!$B$8:$B$207)=3)*(YEAR('💰 Fluxo de Caixa'!$B$8:$B$207)=$C$5)*'💰 Fluxo de Caixa'!$I$8:$I$207)</f>
        <v>0</v>
      </c>
      <c r="F33" s="52" t="n">
        <f aca="false">SUMPRODUCT(('💰 Fluxo de Caixa'!$F$8:$F$207="Tarifas Bancárias")*(MONTH('💰 Fluxo de Caixa'!$B$8:$B$207)=4)*(YEAR('💰 Fluxo de Caixa'!$B$8:$B$207)=$C$5)*'💰 Fluxo de Caixa'!$I$8:$I$207)</f>
        <v>45</v>
      </c>
      <c r="G33" s="52" t="n">
        <f aca="false">SUMPRODUCT(('💰 Fluxo de Caixa'!$F$8:$F$207="Tarifas Bancárias")*(MONTH('💰 Fluxo de Caixa'!$B$8:$B$207)=5)*(YEAR('💰 Fluxo de Caixa'!$B$8:$B$207)=$C$5)*'💰 Fluxo de Caixa'!$I$8:$I$207)</f>
        <v>0</v>
      </c>
      <c r="H33" s="52" t="n">
        <f aca="false">SUMPRODUCT(('💰 Fluxo de Caixa'!$F$8:$F$207="Tarifas Bancárias")*(MONTH('💰 Fluxo de Caixa'!$B$8:$B$207)=6)*(YEAR('💰 Fluxo de Caixa'!$B$8:$B$207)=$C$5)*'💰 Fluxo de Caixa'!$I$8:$I$207)</f>
        <v>0</v>
      </c>
      <c r="I33" s="52" t="n">
        <f aca="false">SUMPRODUCT(('💰 Fluxo de Caixa'!$F$8:$F$207="Tarifas Bancárias")*(MONTH('💰 Fluxo de Caixa'!$B$8:$B$207)=7)*(YEAR('💰 Fluxo de Caixa'!$B$8:$B$207)=$C$5)*'💰 Fluxo de Caixa'!$I$8:$I$207)</f>
        <v>0</v>
      </c>
      <c r="J33" s="52" t="n">
        <f aca="false">SUMPRODUCT(('💰 Fluxo de Caixa'!$F$8:$F$207="Tarifas Bancárias")*(MONTH('💰 Fluxo de Caixa'!$B$8:$B$207)=8)*(YEAR('💰 Fluxo de Caixa'!$B$8:$B$207)=$C$5)*'💰 Fluxo de Caixa'!$I$8:$I$207)</f>
        <v>0</v>
      </c>
      <c r="K33" s="52" t="n">
        <f aca="false">SUMPRODUCT(('💰 Fluxo de Caixa'!$F$8:$F$207="Tarifas Bancárias")*(MONTH('💰 Fluxo de Caixa'!$B$8:$B$207)=9)*(YEAR('💰 Fluxo de Caixa'!$B$8:$B$207)=$C$5)*'💰 Fluxo de Caixa'!$I$8:$I$207)</f>
        <v>0</v>
      </c>
      <c r="L33" s="52" t="n">
        <f aca="false">SUMPRODUCT(('💰 Fluxo de Caixa'!$F$8:$F$207="Tarifas Bancárias")*(MONTH('💰 Fluxo de Caixa'!$B$8:$B$207)=10)*(YEAR('💰 Fluxo de Caixa'!$B$8:$B$207)=$C$5)*'💰 Fluxo de Caixa'!$I$8:$I$207)</f>
        <v>0</v>
      </c>
      <c r="M33" s="52" t="n">
        <f aca="false">SUMPRODUCT(('💰 Fluxo de Caixa'!$F$8:$F$207="Tarifas Bancárias")*(MONTH('💰 Fluxo de Caixa'!$B$8:$B$207)=11)*(YEAR('💰 Fluxo de Caixa'!$B$8:$B$207)=$C$5)*'💰 Fluxo de Caixa'!$I$8:$I$207)</f>
        <v>0</v>
      </c>
      <c r="N33" s="52" t="n">
        <f aca="false">SUMPRODUCT(('💰 Fluxo de Caixa'!$F$8:$F$207="Tarifas Bancárias")*(MONTH('💰 Fluxo de Caixa'!$B$8:$B$207)=12)*(YEAR('💰 Fluxo de Caixa'!$B$8:$B$207)=$C$5)*'💰 Fluxo de Caixa'!$I$8:$I$207)</f>
        <v>0</v>
      </c>
      <c r="O33" s="53" t="n">
        <f aca="false">SUM(C33:N33)</f>
        <v>45</v>
      </c>
    </row>
    <row r="34" customFormat="false" ht="21.75" hidden="false" customHeight="true" outlineLevel="0" collapsed="false">
      <c r="B34" s="56" t="s">
        <v>239</v>
      </c>
      <c r="C34" s="57" t="n">
        <f aca="false">C20-C21-C25-C32</f>
        <v>0</v>
      </c>
      <c r="D34" s="57" t="n">
        <f aca="false">D20-D21-D25-D32</f>
        <v>0</v>
      </c>
      <c r="E34" s="57" t="n">
        <f aca="false">E20-E21-E25-E32</f>
        <v>0</v>
      </c>
      <c r="F34" s="57" t="n">
        <f aca="false">F20-F21-F25-F32</f>
        <v>7768</v>
      </c>
      <c r="G34" s="57" t="n">
        <f aca="false">G20-G21-G25-G32</f>
        <v>0</v>
      </c>
      <c r="H34" s="57" t="n">
        <f aca="false">H20-H21-H25-H32</f>
        <v>0</v>
      </c>
      <c r="I34" s="57" t="n">
        <f aca="false">I20-I21-I25-I32</f>
        <v>0</v>
      </c>
      <c r="J34" s="57" t="n">
        <f aca="false">J20-J21-J25-J32</f>
        <v>0</v>
      </c>
      <c r="K34" s="57" t="n">
        <f aca="false">K20-K21-K25-K32</f>
        <v>0</v>
      </c>
      <c r="L34" s="57" t="n">
        <f aca="false">L20-L21-L25-L32</f>
        <v>0</v>
      </c>
      <c r="M34" s="57" t="n">
        <f aca="false">M20-M21-M25-M32</f>
        <v>0</v>
      </c>
      <c r="N34" s="57" t="n">
        <f aca="false">N20-N21-N25-N32</f>
        <v>0</v>
      </c>
      <c r="O34" s="57" t="n">
        <f aca="false">SUM(C34:N34)</f>
        <v>7768</v>
      </c>
    </row>
    <row r="35" customFormat="false" ht="15" hidden="false" customHeight="false" outlineLevel="0" collapsed="false">
      <c r="B35" s="54" t="s">
        <v>240</v>
      </c>
      <c r="C35" s="58" t="n">
        <f aca="false">IFERROR(C34/C8,0)</f>
        <v>0</v>
      </c>
      <c r="D35" s="58" t="n">
        <f aca="false">IFERROR(D34/D8,0)</f>
        <v>0</v>
      </c>
      <c r="E35" s="58" t="n">
        <f aca="false">IFERROR(E34/E8,0)</f>
        <v>0</v>
      </c>
      <c r="F35" s="58" t="n">
        <f aca="false">IFERROR(F34/F8,0)</f>
        <v>0.42171552660152</v>
      </c>
      <c r="G35" s="58" t="n">
        <f aca="false">IFERROR(G34/G8,0)</f>
        <v>0</v>
      </c>
      <c r="H35" s="58" t="n">
        <f aca="false">IFERROR(H34/H8,0)</f>
        <v>0</v>
      </c>
      <c r="I35" s="58" t="n">
        <f aca="false">IFERROR(I34/I8,0)</f>
        <v>0</v>
      </c>
      <c r="J35" s="58" t="n">
        <f aca="false">IFERROR(J34/J8,0)</f>
        <v>0</v>
      </c>
      <c r="K35" s="58" t="n">
        <f aca="false">IFERROR(K34/K8,0)</f>
        <v>0</v>
      </c>
      <c r="L35" s="58" t="n">
        <f aca="false">IFERROR(L34/L8,0)</f>
        <v>0</v>
      </c>
      <c r="M35" s="58" t="n">
        <f aca="false">IFERROR(M34/M8,0)</f>
        <v>0</v>
      </c>
      <c r="N35" s="58" t="n">
        <f aca="false">IFERROR(N34/N8,0)</f>
        <v>0</v>
      </c>
      <c r="O35" s="59" t="n">
        <f aca="false">IFERROR(O34/O8,0)</f>
        <v>0.42171552660152</v>
      </c>
    </row>
  </sheetData>
  <mergeCells count="2"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8" min="7" style="0" width="16"/>
    <col collapsed="false" customWidth="true" hidden="false" outlineLevel="0" max="9" min="9" style="0" width="14"/>
    <col collapsed="false" customWidth="true" hidden="false" outlineLevel="0" max="10" min="10" style="0" width="22"/>
  </cols>
  <sheetData>
    <row r="2" customFormat="false" ht="22.05" hidden="false" customHeight="false" outlineLevel="0" collapsed="false">
      <c r="B2" s="38" t="s">
        <v>241</v>
      </c>
      <c r="C2" s="38"/>
      <c r="D2" s="38"/>
      <c r="E2" s="38"/>
      <c r="F2" s="38"/>
      <c r="G2" s="38"/>
      <c r="H2" s="38"/>
      <c r="I2" s="38"/>
    </row>
    <row r="3" customFormat="false" ht="15" hidden="false" customHeight="false" outlineLevel="0" collapsed="false">
      <c r="B3" s="39" t="s">
        <v>242</v>
      </c>
      <c r="C3" s="39"/>
      <c r="D3" s="39"/>
      <c r="E3" s="39"/>
      <c r="F3" s="39"/>
      <c r="G3" s="39"/>
      <c r="H3" s="39"/>
      <c r="I3" s="39"/>
    </row>
    <row r="5" customFormat="false" ht="31.5" hidden="false" customHeight="true" outlineLevel="0" collapsed="false">
      <c r="B5" s="21" t="s">
        <v>156</v>
      </c>
      <c r="C5" s="21" t="s">
        <v>157</v>
      </c>
      <c r="D5" s="21" t="s">
        <v>243</v>
      </c>
      <c r="E5" s="21" t="s">
        <v>244</v>
      </c>
      <c r="F5" s="21" t="s">
        <v>245</v>
      </c>
      <c r="G5" s="21" t="s">
        <v>246</v>
      </c>
      <c r="H5" s="21" t="s">
        <v>247</v>
      </c>
      <c r="I5" s="21" t="s">
        <v>248</v>
      </c>
      <c r="J5" s="21" t="s">
        <v>161</v>
      </c>
    </row>
    <row r="6" customFormat="false" ht="15" hidden="false" customHeight="false" outlineLevel="0" collapsed="false">
      <c r="B6" s="46" t="s">
        <v>165</v>
      </c>
      <c r="C6" s="32" t="s">
        <v>167</v>
      </c>
      <c r="D6" s="23" t="s">
        <v>249</v>
      </c>
      <c r="E6" s="23" t="n">
        <v>350</v>
      </c>
      <c r="F6" s="20" t="n">
        <v>0.13</v>
      </c>
      <c r="G6" s="33" t="n">
        <f aca="false">IF(E6="","",E6*(1-F6))</f>
        <v>304.5</v>
      </c>
      <c r="H6" s="23" t="n">
        <v>298</v>
      </c>
      <c r="I6" s="33" t="n">
        <f aca="false">IF(OR(G6="",H6=""),"",H6-G6)</f>
        <v>-6.5</v>
      </c>
      <c r="J6" s="60" t="str">
        <f aca="false">IF(OR(G6="",H6=""),"",IF(ABS(I6)&lt;0.01,"✓ OK",IF(I6&lt;0,"⚠ Recebido a menor","↑ Recebido a maior")))</f>
        <v>⚠ Recebido a menor</v>
      </c>
    </row>
    <row r="7" customFormat="false" ht="15" hidden="false" customHeight="false" outlineLevel="0" collapsed="false">
      <c r="B7" s="46" t="s">
        <v>178</v>
      </c>
      <c r="C7" s="32" t="s">
        <v>49</v>
      </c>
      <c r="D7" s="23" t="s">
        <v>250</v>
      </c>
      <c r="E7" s="23" t="n">
        <v>89.9</v>
      </c>
      <c r="F7" s="20" t="n">
        <v>0.2</v>
      </c>
      <c r="G7" s="33" t="n">
        <f aca="false">IF(E7="","",E7*(1-F7))</f>
        <v>71.92</v>
      </c>
      <c r="H7" s="23" t="n">
        <v>68.92</v>
      </c>
      <c r="I7" s="33" t="n">
        <f aca="false">IF(OR(G7="",H7=""),"",H7-G7)</f>
        <v>-3</v>
      </c>
      <c r="J7" s="60" t="str">
        <f aca="false">IF(OR(G7="",H7=""),"",IF(ABS(I7)&lt;0.01,"✓ OK",IF(I7&lt;0,"⚠ Recebido a menor","↑ Recebido a maior")))</f>
        <v>⚠ Recebido a menor</v>
      </c>
    </row>
    <row r="8" customFormat="false" ht="15" hidden="false" customHeight="false" outlineLevel="0" collapsed="false">
      <c r="B8" s="46" t="s">
        <v>180</v>
      </c>
      <c r="C8" s="32" t="s">
        <v>43</v>
      </c>
      <c r="D8" s="23" t="s">
        <v>251</v>
      </c>
      <c r="E8" s="23" t="n">
        <v>180</v>
      </c>
      <c r="F8" s="20" t="n">
        <v>0.0399</v>
      </c>
      <c r="G8" s="33" t="n">
        <f aca="false">IF(E8="","",E8*(1-F8))</f>
        <v>172.818</v>
      </c>
      <c r="H8" s="23" t="n">
        <v>172.82</v>
      </c>
      <c r="I8" s="33" t="n">
        <f aca="false">IF(OR(G8="",H8=""),"",H8-G8)</f>
        <v>0.00200000000000955</v>
      </c>
      <c r="J8" s="60" t="str">
        <f aca="false">IF(OR(G8="",H8=""),"",IF(ABS(I8)&lt;0.01,"✓ OK",IF(I8&lt;0,"⚠ Recebido a menor","↑ Recebido a maior")))</f>
        <v>✓ OK</v>
      </c>
    </row>
    <row r="9" customFormat="false" ht="15" hidden="false" customHeight="false" outlineLevel="0" collapsed="false">
      <c r="B9" s="46" t="s">
        <v>182</v>
      </c>
      <c r="C9" s="32" t="s">
        <v>167</v>
      </c>
      <c r="D9" s="23" t="s">
        <v>252</v>
      </c>
      <c r="E9" s="23" t="n">
        <v>145</v>
      </c>
      <c r="F9" s="20" t="n">
        <v>0.13</v>
      </c>
      <c r="G9" s="33" t="n">
        <f aca="false">IF(E9="","",E9*(1-F9))</f>
        <v>126.15</v>
      </c>
      <c r="H9" s="23" t="n">
        <v>126.15</v>
      </c>
      <c r="I9" s="33" t="n">
        <f aca="false">IF(OR(G9="",H9=""),"",H9-G9)</f>
        <v>0</v>
      </c>
      <c r="J9" s="60" t="str">
        <f aca="false">IF(OR(G9="",H9=""),"",IF(ABS(I9)&lt;0.01,"✓ OK",IF(I9&lt;0,"⚠ Recebido a menor","↑ Recebido a maior")))</f>
        <v>✓ OK</v>
      </c>
    </row>
    <row r="10" customFormat="false" ht="15" hidden="false" customHeight="false" outlineLevel="0" collapsed="false">
      <c r="B10" s="46"/>
      <c r="C10" s="32"/>
      <c r="D10" s="23"/>
      <c r="E10" s="61"/>
      <c r="F10" s="20"/>
      <c r="G10" s="33" t="str">
        <f aca="false">IF(E10="","",E10*(1-F10))</f>
        <v/>
      </c>
      <c r="H10" s="23"/>
      <c r="I10" s="33" t="str">
        <f aca="false">IF(OR(G10="",H10=""),"",H10-G10)</f>
        <v/>
      </c>
      <c r="J10" s="60" t="str">
        <f aca="false">IF(OR(G10="",H10=""),"",IF(ABS(I10)&lt;0.01,"✓ OK",IF(I10&lt;0,"⚠ Recebido a menor","↑ Recebido a maior")))</f>
        <v/>
      </c>
    </row>
    <row r="11" customFormat="false" ht="15" hidden="false" customHeight="false" outlineLevel="0" collapsed="false">
      <c r="B11" s="46"/>
      <c r="C11" s="32"/>
      <c r="D11" s="23"/>
      <c r="E11" s="61"/>
      <c r="F11" s="20"/>
      <c r="G11" s="33" t="str">
        <f aca="false">IF(E11="","",E11*(1-F11))</f>
        <v/>
      </c>
      <c r="H11" s="23"/>
      <c r="I11" s="33" t="str">
        <f aca="false">IF(OR(G11="",H11=""),"",H11-G11)</f>
        <v/>
      </c>
      <c r="J11" s="60" t="str">
        <f aca="false">IF(OR(G11="",H11=""),"",IF(ABS(I11)&lt;0.01,"✓ OK",IF(I11&lt;0,"⚠ Recebido a menor","↑ Recebido a maior")))</f>
        <v/>
      </c>
    </row>
    <row r="12" customFormat="false" ht="15" hidden="false" customHeight="false" outlineLevel="0" collapsed="false">
      <c r="B12" s="46"/>
      <c r="C12" s="32"/>
      <c r="D12" s="23"/>
      <c r="E12" s="61"/>
      <c r="F12" s="20"/>
      <c r="G12" s="33" t="str">
        <f aca="false">IF(E12="","",E12*(1-F12))</f>
        <v/>
      </c>
      <c r="H12" s="23"/>
      <c r="I12" s="33" t="str">
        <f aca="false">IF(OR(G12="",H12=""),"",H12-G12)</f>
        <v/>
      </c>
      <c r="J12" s="60" t="str">
        <f aca="false">IF(OR(G12="",H12=""),"",IF(ABS(I12)&lt;0.01,"✓ OK",IF(I12&lt;0,"⚠ Recebido a menor","↑ Recebido a maior")))</f>
        <v/>
      </c>
    </row>
    <row r="13" customFormat="false" ht="15" hidden="false" customHeight="false" outlineLevel="0" collapsed="false">
      <c r="B13" s="46"/>
      <c r="C13" s="32"/>
      <c r="D13" s="23"/>
      <c r="E13" s="61"/>
      <c r="F13" s="20"/>
      <c r="G13" s="33" t="str">
        <f aca="false">IF(E13="","",E13*(1-F13))</f>
        <v/>
      </c>
      <c r="H13" s="23"/>
      <c r="I13" s="33" t="str">
        <f aca="false">IF(OR(G13="",H13=""),"",H13-G13)</f>
        <v/>
      </c>
      <c r="J13" s="60" t="str">
        <f aca="false">IF(OR(G13="",H13=""),"",IF(ABS(I13)&lt;0.01,"✓ OK",IF(I13&lt;0,"⚠ Recebido a menor","↑ Recebido a maior")))</f>
        <v/>
      </c>
    </row>
    <row r="14" customFormat="false" ht="15" hidden="false" customHeight="false" outlineLevel="0" collapsed="false">
      <c r="B14" s="46"/>
      <c r="C14" s="32"/>
      <c r="D14" s="23"/>
      <c r="E14" s="61"/>
      <c r="F14" s="20"/>
      <c r="G14" s="33" t="str">
        <f aca="false">IF(E14="","",E14*(1-F14))</f>
        <v/>
      </c>
      <c r="H14" s="23"/>
      <c r="I14" s="33" t="str">
        <f aca="false">IF(OR(G14="",H14=""),"",H14-G14)</f>
        <v/>
      </c>
      <c r="J14" s="60" t="str">
        <f aca="false">IF(OR(G14="",H14=""),"",IF(ABS(I14)&lt;0.01,"✓ OK",IF(I14&lt;0,"⚠ Recebido a menor","↑ Recebido a maior")))</f>
        <v/>
      </c>
    </row>
    <row r="15" customFormat="false" ht="15" hidden="false" customHeight="false" outlineLevel="0" collapsed="false">
      <c r="B15" s="46"/>
      <c r="C15" s="32"/>
      <c r="D15" s="23"/>
      <c r="E15" s="61"/>
      <c r="F15" s="20"/>
      <c r="G15" s="33" t="str">
        <f aca="false">IF(E15="","",E15*(1-F15))</f>
        <v/>
      </c>
      <c r="H15" s="23"/>
      <c r="I15" s="33" t="str">
        <f aca="false">IF(OR(G15="",H15=""),"",H15-G15)</f>
        <v/>
      </c>
      <c r="J15" s="60" t="str">
        <f aca="false">IF(OR(G15="",H15=""),"",IF(ABS(I15)&lt;0.01,"✓ OK",IF(I15&lt;0,"⚠ Recebido a menor","↑ Recebido a maior")))</f>
        <v/>
      </c>
    </row>
    <row r="16" customFormat="false" ht="15" hidden="false" customHeight="false" outlineLevel="0" collapsed="false">
      <c r="B16" s="46"/>
      <c r="C16" s="32"/>
      <c r="D16" s="23"/>
      <c r="E16" s="61"/>
      <c r="F16" s="20"/>
      <c r="G16" s="33" t="str">
        <f aca="false">IF(E16="","",E16*(1-F16))</f>
        <v/>
      </c>
      <c r="H16" s="23"/>
      <c r="I16" s="33" t="str">
        <f aca="false">IF(OR(G16="",H16=""),"",H16-G16)</f>
        <v/>
      </c>
      <c r="J16" s="60" t="str">
        <f aca="false">IF(OR(G16="",H16=""),"",IF(ABS(I16)&lt;0.01,"✓ OK",IF(I16&lt;0,"⚠ Recebido a menor","↑ Recebido a maior")))</f>
        <v/>
      </c>
    </row>
    <row r="17" customFormat="false" ht="15" hidden="false" customHeight="false" outlineLevel="0" collapsed="false">
      <c r="B17" s="46"/>
      <c r="C17" s="32"/>
      <c r="D17" s="23"/>
      <c r="E17" s="61"/>
      <c r="F17" s="20"/>
      <c r="G17" s="33" t="str">
        <f aca="false">IF(E17="","",E17*(1-F17))</f>
        <v/>
      </c>
      <c r="H17" s="23"/>
      <c r="I17" s="33" t="str">
        <f aca="false">IF(OR(G17="",H17=""),"",H17-G17)</f>
        <v/>
      </c>
      <c r="J17" s="60" t="str">
        <f aca="false">IF(OR(G17="",H17=""),"",IF(ABS(I17)&lt;0.01,"✓ OK",IF(I17&lt;0,"⚠ Recebido a menor","↑ Recebido a maior")))</f>
        <v/>
      </c>
    </row>
    <row r="18" customFormat="false" ht="15" hidden="false" customHeight="false" outlineLevel="0" collapsed="false">
      <c r="B18" s="46"/>
      <c r="C18" s="32"/>
      <c r="D18" s="23"/>
      <c r="E18" s="61"/>
      <c r="F18" s="20"/>
      <c r="G18" s="33" t="str">
        <f aca="false">IF(E18="","",E18*(1-F18))</f>
        <v/>
      </c>
      <c r="H18" s="23"/>
      <c r="I18" s="33" t="str">
        <f aca="false">IF(OR(G18="",H18=""),"",H18-G18)</f>
        <v/>
      </c>
      <c r="J18" s="60" t="str">
        <f aca="false">IF(OR(G18="",H18=""),"",IF(ABS(I18)&lt;0.01,"✓ OK",IF(I18&lt;0,"⚠ Recebido a menor","↑ Recebido a maior")))</f>
        <v/>
      </c>
    </row>
    <row r="19" customFormat="false" ht="15" hidden="false" customHeight="false" outlineLevel="0" collapsed="false">
      <c r="B19" s="46"/>
      <c r="C19" s="32"/>
      <c r="D19" s="23"/>
      <c r="E19" s="61"/>
      <c r="F19" s="20"/>
      <c r="G19" s="33" t="str">
        <f aca="false">IF(E19="","",E19*(1-F19))</f>
        <v/>
      </c>
      <c r="H19" s="23"/>
      <c r="I19" s="33" t="str">
        <f aca="false">IF(OR(G19="",H19=""),"",H19-G19)</f>
        <v/>
      </c>
      <c r="J19" s="60" t="str">
        <f aca="false">IF(OR(G19="",H19=""),"",IF(ABS(I19)&lt;0.01,"✓ OK",IF(I19&lt;0,"⚠ Recebido a menor","↑ Recebido a maior")))</f>
        <v/>
      </c>
    </row>
    <row r="20" customFormat="false" ht="15" hidden="false" customHeight="false" outlineLevel="0" collapsed="false">
      <c r="B20" s="46"/>
      <c r="C20" s="32"/>
      <c r="D20" s="23"/>
      <c r="E20" s="61"/>
      <c r="F20" s="20"/>
      <c r="G20" s="33" t="str">
        <f aca="false">IF(E20="","",E20*(1-F20))</f>
        <v/>
      </c>
      <c r="H20" s="23"/>
      <c r="I20" s="33" t="str">
        <f aca="false">IF(OR(G20="",H20=""),"",H20-G20)</f>
        <v/>
      </c>
      <c r="J20" s="60" t="str">
        <f aca="false">IF(OR(G20="",H20=""),"",IF(ABS(I20)&lt;0.01,"✓ OK",IF(I20&lt;0,"⚠ Recebido a menor","↑ Recebido a maior")))</f>
        <v/>
      </c>
    </row>
    <row r="21" customFormat="false" ht="15" hidden="false" customHeight="false" outlineLevel="0" collapsed="false">
      <c r="B21" s="46"/>
      <c r="C21" s="32"/>
      <c r="D21" s="23"/>
      <c r="E21" s="61"/>
      <c r="F21" s="20"/>
      <c r="G21" s="33" t="str">
        <f aca="false">IF(E21="","",E21*(1-F21))</f>
        <v/>
      </c>
      <c r="H21" s="23"/>
      <c r="I21" s="33" t="str">
        <f aca="false">IF(OR(G21="",H21=""),"",H21-G21)</f>
        <v/>
      </c>
      <c r="J21" s="60" t="str">
        <f aca="false">IF(OR(G21="",H21=""),"",IF(ABS(I21)&lt;0.01,"✓ OK",IF(I21&lt;0,"⚠ Recebido a menor","↑ Recebido a maior")))</f>
        <v/>
      </c>
    </row>
    <row r="22" customFormat="false" ht="15" hidden="false" customHeight="false" outlineLevel="0" collapsed="false">
      <c r="B22" s="46"/>
      <c r="C22" s="32"/>
      <c r="D22" s="23"/>
      <c r="E22" s="61"/>
      <c r="F22" s="20"/>
      <c r="G22" s="33" t="str">
        <f aca="false">IF(E22="","",E22*(1-F22))</f>
        <v/>
      </c>
      <c r="H22" s="23"/>
      <c r="I22" s="33" t="str">
        <f aca="false">IF(OR(G22="",H22=""),"",H22-G22)</f>
        <v/>
      </c>
      <c r="J22" s="60" t="str">
        <f aca="false">IF(OR(G22="",H22=""),"",IF(ABS(I22)&lt;0.01,"✓ OK",IF(I22&lt;0,"⚠ Recebido a menor","↑ Recebido a maior")))</f>
        <v/>
      </c>
    </row>
    <row r="23" customFormat="false" ht="15" hidden="false" customHeight="false" outlineLevel="0" collapsed="false">
      <c r="B23" s="46"/>
      <c r="C23" s="32"/>
      <c r="D23" s="23"/>
      <c r="E23" s="61"/>
      <c r="F23" s="20"/>
      <c r="G23" s="33" t="str">
        <f aca="false">IF(E23="","",E23*(1-F23))</f>
        <v/>
      </c>
      <c r="H23" s="23"/>
      <c r="I23" s="33" t="str">
        <f aca="false">IF(OR(G23="",H23=""),"",H23-G23)</f>
        <v/>
      </c>
      <c r="J23" s="60" t="str">
        <f aca="false">IF(OR(G23="",H23=""),"",IF(ABS(I23)&lt;0.01,"✓ OK",IF(I23&lt;0,"⚠ Recebido a menor","↑ Recebido a maior")))</f>
        <v/>
      </c>
    </row>
    <row r="24" customFormat="false" ht="15" hidden="false" customHeight="false" outlineLevel="0" collapsed="false">
      <c r="B24" s="46"/>
      <c r="C24" s="32"/>
      <c r="D24" s="23"/>
      <c r="E24" s="61"/>
      <c r="F24" s="20"/>
      <c r="G24" s="33" t="str">
        <f aca="false">IF(E24="","",E24*(1-F24))</f>
        <v/>
      </c>
      <c r="H24" s="23"/>
      <c r="I24" s="33" t="str">
        <f aca="false">IF(OR(G24="",H24=""),"",H24-G24)</f>
        <v/>
      </c>
      <c r="J24" s="60" t="str">
        <f aca="false">IF(OR(G24="",H24=""),"",IF(ABS(I24)&lt;0.01,"✓ OK",IF(I24&lt;0,"⚠ Recebido a menor","↑ Recebido a maior")))</f>
        <v/>
      </c>
    </row>
    <row r="25" customFormat="false" ht="15" hidden="false" customHeight="false" outlineLevel="0" collapsed="false">
      <c r="B25" s="46"/>
      <c r="C25" s="32"/>
      <c r="D25" s="23"/>
      <c r="E25" s="61"/>
      <c r="F25" s="20"/>
      <c r="G25" s="33" t="str">
        <f aca="false">IF(E25="","",E25*(1-F25))</f>
        <v/>
      </c>
      <c r="H25" s="23"/>
      <c r="I25" s="33" t="str">
        <f aca="false">IF(OR(G25="",H25=""),"",H25-G25)</f>
        <v/>
      </c>
      <c r="J25" s="60" t="str">
        <f aca="false">IF(OR(G25="",H25=""),"",IF(ABS(I25)&lt;0.01,"✓ OK",IF(I25&lt;0,"⚠ Recebido a menor","↑ Recebido a maior")))</f>
        <v/>
      </c>
    </row>
    <row r="26" customFormat="false" ht="15" hidden="false" customHeight="false" outlineLevel="0" collapsed="false">
      <c r="B26" s="46"/>
      <c r="C26" s="32"/>
      <c r="D26" s="23"/>
      <c r="E26" s="61"/>
      <c r="F26" s="20"/>
      <c r="G26" s="33" t="str">
        <f aca="false">IF(E26="","",E26*(1-F26))</f>
        <v/>
      </c>
      <c r="H26" s="23"/>
      <c r="I26" s="33" t="str">
        <f aca="false">IF(OR(G26="",H26=""),"",H26-G26)</f>
        <v/>
      </c>
      <c r="J26" s="60" t="str">
        <f aca="false">IF(OR(G26="",H26=""),"",IF(ABS(I26)&lt;0.01,"✓ OK",IF(I26&lt;0,"⚠ Recebido a menor","↑ Recebido a maior")))</f>
        <v/>
      </c>
    </row>
    <row r="27" customFormat="false" ht="15" hidden="false" customHeight="false" outlineLevel="0" collapsed="false">
      <c r="B27" s="46"/>
      <c r="C27" s="32"/>
      <c r="D27" s="23"/>
      <c r="E27" s="61"/>
      <c r="F27" s="20"/>
      <c r="G27" s="33" t="str">
        <f aca="false">IF(E27="","",E27*(1-F27))</f>
        <v/>
      </c>
      <c r="H27" s="23"/>
      <c r="I27" s="33" t="str">
        <f aca="false">IF(OR(G27="",H27=""),"",H27-G27)</f>
        <v/>
      </c>
      <c r="J27" s="60" t="str">
        <f aca="false">IF(OR(G27="",H27=""),"",IF(ABS(I27)&lt;0.01,"✓ OK",IF(I27&lt;0,"⚠ Recebido a menor","↑ Recebido a maior")))</f>
        <v/>
      </c>
    </row>
    <row r="28" customFormat="false" ht="15" hidden="false" customHeight="false" outlineLevel="0" collapsed="false">
      <c r="B28" s="46"/>
      <c r="C28" s="32"/>
      <c r="D28" s="23"/>
      <c r="E28" s="61"/>
      <c r="F28" s="20"/>
      <c r="G28" s="33" t="str">
        <f aca="false">IF(E28="","",E28*(1-F28))</f>
        <v/>
      </c>
      <c r="H28" s="23"/>
      <c r="I28" s="33" t="str">
        <f aca="false">IF(OR(G28="",H28=""),"",H28-G28)</f>
        <v/>
      </c>
      <c r="J28" s="60" t="str">
        <f aca="false">IF(OR(G28="",H28=""),"",IF(ABS(I28)&lt;0.01,"✓ OK",IF(I28&lt;0,"⚠ Recebido a menor","↑ Recebido a maior")))</f>
        <v/>
      </c>
    </row>
    <row r="29" customFormat="false" ht="15" hidden="false" customHeight="false" outlineLevel="0" collapsed="false">
      <c r="B29" s="46"/>
      <c r="C29" s="32"/>
      <c r="D29" s="23"/>
      <c r="E29" s="61"/>
      <c r="F29" s="20"/>
      <c r="G29" s="33" t="str">
        <f aca="false">IF(E29="","",E29*(1-F29))</f>
        <v/>
      </c>
      <c r="H29" s="23"/>
      <c r="I29" s="33" t="str">
        <f aca="false">IF(OR(G29="",H29=""),"",H29-G29)</f>
        <v/>
      </c>
      <c r="J29" s="60" t="str">
        <f aca="false">IF(OR(G29="",H29=""),"",IF(ABS(I29)&lt;0.01,"✓ OK",IF(I29&lt;0,"⚠ Recebido a menor","↑ Recebido a maior")))</f>
        <v/>
      </c>
    </row>
    <row r="30" customFormat="false" ht="15" hidden="false" customHeight="false" outlineLevel="0" collapsed="false">
      <c r="B30" s="46"/>
      <c r="C30" s="32"/>
      <c r="D30" s="23"/>
      <c r="E30" s="61"/>
      <c r="F30" s="20"/>
      <c r="G30" s="33" t="str">
        <f aca="false">IF(E30="","",E30*(1-F30))</f>
        <v/>
      </c>
      <c r="H30" s="23"/>
      <c r="I30" s="33" t="str">
        <f aca="false">IF(OR(G30="",H30=""),"",H30-G30)</f>
        <v/>
      </c>
      <c r="J30" s="60" t="str">
        <f aca="false">IF(OR(G30="",H30=""),"",IF(ABS(I30)&lt;0.01,"✓ OK",IF(I30&lt;0,"⚠ Recebido a menor","↑ Recebido a maior")))</f>
        <v/>
      </c>
    </row>
    <row r="31" customFormat="false" ht="15" hidden="false" customHeight="false" outlineLevel="0" collapsed="false">
      <c r="B31" s="46"/>
      <c r="C31" s="32"/>
      <c r="D31" s="23"/>
      <c r="E31" s="61"/>
      <c r="F31" s="20"/>
      <c r="G31" s="33" t="str">
        <f aca="false">IF(E31="","",E31*(1-F31))</f>
        <v/>
      </c>
      <c r="H31" s="23"/>
      <c r="I31" s="33" t="str">
        <f aca="false">IF(OR(G31="",H31=""),"",H31-G31)</f>
        <v/>
      </c>
      <c r="J31" s="60" t="str">
        <f aca="false">IF(OR(G31="",H31=""),"",IF(ABS(I31)&lt;0.01,"✓ OK",IF(I31&lt;0,"⚠ Recebido a menor","↑ Recebido a maior")))</f>
        <v/>
      </c>
    </row>
    <row r="32" customFormat="false" ht="15" hidden="false" customHeight="false" outlineLevel="0" collapsed="false">
      <c r="B32" s="46"/>
      <c r="C32" s="32"/>
      <c r="D32" s="23"/>
      <c r="E32" s="61"/>
      <c r="F32" s="20"/>
      <c r="G32" s="33" t="str">
        <f aca="false">IF(E32="","",E32*(1-F32))</f>
        <v/>
      </c>
      <c r="H32" s="23"/>
      <c r="I32" s="33" t="str">
        <f aca="false">IF(OR(G32="",H32=""),"",H32-G32)</f>
        <v/>
      </c>
      <c r="J32" s="60" t="str">
        <f aca="false">IF(OR(G32="",H32=""),"",IF(ABS(I32)&lt;0.01,"✓ OK",IF(I32&lt;0,"⚠ Recebido a menor","↑ Recebido a maior")))</f>
        <v/>
      </c>
    </row>
    <row r="33" customFormat="false" ht="15" hidden="false" customHeight="false" outlineLevel="0" collapsed="false">
      <c r="B33" s="46"/>
      <c r="C33" s="32"/>
      <c r="D33" s="23"/>
      <c r="E33" s="61"/>
      <c r="F33" s="20"/>
      <c r="G33" s="33" t="str">
        <f aca="false">IF(E33="","",E33*(1-F33))</f>
        <v/>
      </c>
      <c r="H33" s="23"/>
      <c r="I33" s="33" t="str">
        <f aca="false">IF(OR(G33="",H33=""),"",H33-G33)</f>
        <v/>
      </c>
      <c r="J33" s="60" t="str">
        <f aca="false">IF(OR(G33="",H33=""),"",IF(ABS(I33)&lt;0.01,"✓ OK",IF(I33&lt;0,"⚠ Recebido a menor","↑ Recebido a maior")))</f>
        <v/>
      </c>
    </row>
    <row r="34" customFormat="false" ht="15" hidden="false" customHeight="false" outlineLevel="0" collapsed="false">
      <c r="B34" s="46"/>
      <c r="C34" s="32"/>
      <c r="D34" s="23"/>
      <c r="E34" s="61"/>
      <c r="F34" s="20"/>
      <c r="G34" s="33" t="str">
        <f aca="false">IF(E34="","",E34*(1-F34))</f>
        <v/>
      </c>
      <c r="H34" s="23"/>
      <c r="I34" s="33" t="str">
        <f aca="false">IF(OR(G34="",H34=""),"",H34-G34)</f>
        <v/>
      </c>
      <c r="J34" s="60" t="str">
        <f aca="false">IF(OR(G34="",H34=""),"",IF(ABS(I34)&lt;0.01,"✓ OK",IF(I34&lt;0,"⚠ Recebido a menor","↑ Recebido a maior")))</f>
        <v/>
      </c>
    </row>
    <row r="35" customFormat="false" ht="15" hidden="false" customHeight="false" outlineLevel="0" collapsed="false">
      <c r="B35" s="46"/>
      <c r="C35" s="32"/>
      <c r="D35" s="23"/>
      <c r="E35" s="61"/>
      <c r="F35" s="20"/>
      <c r="G35" s="33" t="str">
        <f aca="false">IF(E35="","",E35*(1-F35))</f>
        <v/>
      </c>
      <c r="H35" s="23"/>
      <c r="I35" s="33" t="str">
        <f aca="false">IF(OR(G35="",H35=""),"",H35-G35)</f>
        <v/>
      </c>
      <c r="J35" s="60" t="str">
        <f aca="false">IF(OR(G35="",H35=""),"",IF(ABS(I35)&lt;0.01,"✓ OK",IF(I35&lt;0,"⚠ Recebido a menor","↑ Recebido a maior")))</f>
        <v/>
      </c>
    </row>
    <row r="36" customFormat="false" ht="15" hidden="false" customHeight="false" outlineLevel="0" collapsed="false">
      <c r="B36" s="46"/>
      <c r="C36" s="32"/>
      <c r="D36" s="23"/>
      <c r="E36" s="61"/>
      <c r="F36" s="20"/>
      <c r="G36" s="33" t="str">
        <f aca="false">IF(E36="","",E36*(1-F36))</f>
        <v/>
      </c>
      <c r="H36" s="23"/>
      <c r="I36" s="33" t="str">
        <f aca="false">IF(OR(G36="",H36=""),"",H36-G36)</f>
        <v/>
      </c>
      <c r="J36" s="60" t="str">
        <f aca="false">IF(OR(G36="",H36=""),"",IF(ABS(I36)&lt;0.01,"✓ OK",IF(I36&lt;0,"⚠ Recebido a menor","↑ Recebido a maior")))</f>
        <v/>
      </c>
    </row>
    <row r="37" customFormat="false" ht="15" hidden="false" customHeight="false" outlineLevel="0" collapsed="false">
      <c r="B37" s="46"/>
      <c r="C37" s="32"/>
      <c r="D37" s="23"/>
      <c r="E37" s="61"/>
      <c r="F37" s="20"/>
      <c r="G37" s="33" t="str">
        <f aca="false">IF(E37="","",E37*(1-F37))</f>
        <v/>
      </c>
      <c r="H37" s="23"/>
      <c r="I37" s="33" t="str">
        <f aca="false">IF(OR(G37="",H37=""),"",H37-G37)</f>
        <v/>
      </c>
      <c r="J37" s="60" t="str">
        <f aca="false">IF(OR(G37="",H37=""),"",IF(ABS(I37)&lt;0.01,"✓ OK",IF(I37&lt;0,"⚠ Recebido a menor","↑ Recebido a maior")))</f>
        <v/>
      </c>
    </row>
    <row r="38" customFormat="false" ht="15" hidden="false" customHeight="false" outlineLevel="0" collapsed="false">
      <c r="B38" s="46"/>
      <c r="C38" s="32"/>
      <c r="D38" s="23"/>
      <c r="E38" s="61"/>
      <c r="F38" s="20"/>
      <c r="G38" s="33" t="str">
        <f aca="false">IF(E38="","",E38*(1-F38))</f>
        <v/>
      </c>
      <c r="H38" s="23"/>
      <c r="I38" s="33" t="str">
        <f aca="false">IF(OR(G38="",H38=""),"",H38-G38)</f>
        <v/>
      </c>
      <c r="J38" s="60" t="str">
        <f aca="false">IF(OR(G38="",H38=""),"",IF(ABS(I38)&lt;0.01,"✓ OK",IF(I38&lt;0,"⚠ Recebido a menor","↑ Recebido a maior")))</f>
        <v/>
      </c>
    </row>
    <row r="39" customFormat="false" ht="15" hidden="false" customHeight="false" outlineLevel="0" collapsed="false">
      <c r="B39" s="46"/>
      <c r="C39" s="32"/>
      <c r="D39" s="23"/>
      <c r="E39" s="61"/>
      <c r="F39" s="20"/>
      <c r="G39" s="33" t="str">
        <f aca="false">IF(E39="","",E39*(1-F39))</f>
        <v/>
      </c>
      <c r="H39" s="23"/>
      <c r="I39" s="33" t="str">
        <f aca="false">IF(OR(G39="",H39=""),"",H39-G39)</f>
        <v/>
      </c>
      <c r="J39" s="60" t="str">
        <f aca="false">IF(OR(G39="",H39=""),"",IF(ABS(I39)&lt;0.01,"✓ OK",IF(I39&lt;0,"⚠ Recebido a menor","↑ Recebido a maior")))</f>
        <v/>
      </c>
    </row>
    <row r="40" customFormat="false" ht="15" hidden="false" customHeight="false" outlineLevel="0" collapsed="false">
      <c r="B40" s="46"/>
      <c r="C40" s="32"/>
      <c r="D40" s="23"/>
      <c r="E40" s="61"/>
      <c r="F40" s="20"/>
      <c r="G40" s="33" t="str">
        <f aca="false">IF(E40="","",E40*(1-F40))</f>
        <v/>
      </c>
      <c r="H40" s="23"/>
      <c r="I40" s="33" t="str">
        <f aca="false">IF(OR(G40="",H40=""),"",H40-G40)</f>
        <v/>
      </c>
      <c r="J40" s="60" t="str">
        <f aca="false">IF(OR(G40="",H40=""),"",IF(ABS(I40)&lt;0.01,"✓ OK",IF(I40&lt;0,"⚠ Recebido a menor","↑ Recebido a maior")))</f>
        <v/>
      </c>
    </row>
    <row r="41" customFormat="false" ht="15" hidden="false" customHeight="false" outlineLevel="0" collapsed="false">
      <c r="B41" s="46"/>
      <c r="C41" s="32"/>
      <c r="D41" s="23"/>
      <c r="E41" s="61"/>
      <c r="F41" s="20"/>
      <c r="G41" s="33" t="str">
        <f aca="false">IF(E41="","",E41*(1-F41))</f>
        <v/>
      </c>
      <c r="H41" s="23"/>
      <c r="I41" s="33" t="str">
        <f aca="false">IF(OR(G41="",H41=""),"",H41-G41)</f>
        <v/>
      </c>
      <c r="J41" s="60" t="str">
        <f aca="false">IF(OR(G41="",H41=""),"",IF(ABS(I41)&lt;0.01,"✓ OK",IF(I41&lt;0,"⚠ Recebido a menor","↑ Recebido a maior")))</f>
        <v/>
      </c>
    </row>
    <row r="42" customFormat="false" ht="15" hidden="false" customHeight="false" outlineLevel="0" collapsed="false">
      <c r="B42" s="46"/>
      <c r="C42" s="32"/>
      <c r="D42" s="23"/>
      <c r="E42" s="61"/>
      <c r="F42" s="20"/>
      <c r="G42" s="33" t="str">
        <f aca="false">IF(E42="","",E42*(1-F42))</f>
        <v/>
      </c>
      <c r="H42" s="23"/>
      <c r="I42" s="33" t="str">
        <f aca="false">IF(OR(G42="",H42=""),"",H42-G42)</f>
        <v/>
      </c>
      <c r="J42" s="60" t="str">
        <f aca="false">IF(OR(G42="",H42=""),"",IF(ABS(I42)&lt;0.01,"✓ OK",IF(I42&lt;0,"⚠ Recebido a menor","↑ Recebido a maior")))</f>
        <v/>
      </c>
    </row>
    <row r="43" customFormat="false" ht="15" hidden="false" customHeight="false" outlineLevel="0" collapsed="false">
      <c r="B43" s="46"/>
      <c r="C43" s="32"/>
      <c r="D43" s="23"/>
      <c r="E43" s="61"/>
      <c r="F43" s="20"/>
      <c r="G43" s="33" t="str">
        <f aca="false">IF(E43="","",E43*(1-F43))</f>
        <v/>
      </c>
      <c r="H43" s="23"/>
      <c r="I43" s="33" t="str">
        <f aca="false">IF(OR(G43="",H43=""),"",H43-G43)</f>
        <v/>
      </c>
      <c r="J43" s="60" t="str">
        <f aca="false">IF(OR(G43="",H43=""),"",IF(ABS(I43)&lt;0.01,"✓ OK",IF(I43&lt;0,"⚠ Recebido a menor","↑ Recebido a maior")))</f>
        <v/>
      </c>
    </row>
    <row r="44" customFormat="false" ht="15" hidden="false" customHeight="false" outlineLevel="0" collapsed="false">
      <c r="B44" s="46"/>
      <c r="C44" s="32"/>
      <c r="D44" s="23"/>
      <c r="E44" s="61"/>
      <c r="F44" s="20"/>
      <c r="G44" s="33" t="str">
        <f aca="false">IF(E44="","",E44*(1-F44))</f>
        <v/>
      </c>
      <c r="H44" s="23"/>
      <c r="I44" s="33" t="str">
        <f aca="false">IF(OR(G44="",H44=""),"",H44-G44)</f>
        <v/>
      </c>
      <c r="J44" s="60" t="str">
        <f aca="false">IF(OR(G44="",H44=""),"",IF(ABS(I44)&lt;0.01,"✓ OK",IF(I44&lt;0,"⚠ Recebido a menor","↑ Recebido a maior")))</f>
        <v/>
      </c>
    </row>
    <row r="45" customFormat="false" ht="15" hidden="false" customHeight="false" outlineLevel="0" collapsed="false">
      <c r="B45" s="46"/>
      <c r="C45" s="32"/>
      <c r="D45" s="23"/>
      <c r="E45" s="61"/>
      <c r="F45" s="20"/>
      <c r="G45" s="33" t="str">
        <f aca="false">IF(E45="","",E45*(1-F45))</f>
        <v/>
      </c>
      <c r="H45" s="23"/>
      <c r="I45" s="33" t="str">
        <f aca="false">IF(OR(G45="",H45=""),"",H45-G45)</f>
        <v/>
      </c>
      <c r="J45" s="60" t="str">
        <f aca="false">IF(OR(G45="",H45=""),"",IF(ABS(I45)&lt;0.01,"✓ OK",IF(I45&lt;0,"⚠ Recebido a menor","↑ Recebido a maior")))</f>
        <v/>
      </c>
    </row>
    <row r="46" customFormat="false" ht="15" hidden="false" customHeight="false" outlineLevel="0" collapsed="false">
      <c r="B46" s="46"/>
      <c r="C46" s="32"/>
      <c r="D46" s="23"/>
      <c r="E46" s="61"/>
      <c r="F46" s="20"/>
      <c r="G46" s="33" t="str">
        <f aca="false">IF(E46="","",E46*(1-F46))</f>
        <v/>
      </c>
      <c r="H46" s="23"/>
      <c r="I46" s="33" t="str">
        <f aca="false">IF(OR(G46="",H46=""),"",H46-G46)</f>
        <v/>
      </c>
      <c r="J46" s="60" t="str">
        <f aca="false">IF(OR(G46="",H46=""),"",IF(ABS(I46)&lt;0.01,"✓ OK",IF(I46&lt;0,"⚠ Recebido a menor","↑ Recebido a maior")))</f>
        <v/>
      </c>
    </row>
    <row r="47" customFormat="false" ht="15" hidden="false" customHeight="false" outlineLevel="0" collapsed="false">
      <c r="B47" s="46"/>
      <c r="C47" s="32"/>
      <c r="D47" s="23"/>
      <c r="E47" s="61"/>
      <c r="F47" s="20"/>
      <c r="G47" s="33" t="str">
        <f aca="false">IF(E47="","",E47*(1-F47))</f>
        <v/>
      </c>
      <c r="H47" s="23"/>
      <c r="I47" s="33" t="str">
        <f aca="false">IF(OR(G47="",H47=""),"",H47-G47)</f>
        <v/>
      </c>
      <c r="J47" s="60" t="str">
        <f aca="false">IF(OR(G47="",H47=""),"",IF(ABS(I47)&lt;0.01,"✓ OK",IF(I47&lt;0,"⚠ Recebido a menor","↑ Recebido a maior")))</f>
        <v/>
      </c>
    </row>
    <row r="48" customFormat="false" ht="15" hidden="false" customHeight="false" outlineLevel="0" collapsed="false">
      <c r="B48" s="46"/>
      <c r="C48" s="32"/>
      <c r="D48" s="23"/>
      <c r="E48" s="61"/>
      <c r="F48" s="20"/>
      <c r="G48" s="33" t="str">
        <f aca="false">IF(E48="","",E48*(1-F48))</f>
        <v/>
      </c>
      <c r="H48" s="23"/>
      <c r="I48" s="33" t="str">
        <f aca="false">IF(OR(G48="",H48=""),"",H48-G48)</f>
        <v/>
      </c>
      <c r="J48" s="60" t="str">
        <f aca="false">IF(OR(G48="",H48=""),"",IF(ABS(I48)&lt;0.01,"✓ OK",IF(I48&lt;0,"⚠ Recebido a menor","↑ Recebido a maior")))</f>
        <v/>
      </c>
    </row>
    <row r="49" customFormat="false" ht="15" hidden="false" customHeight="false" outlineLevel="0" collapsed="false">
      <c r="B49" s="46"/>
      <c r="C49" s="32"/>
      <c r="D49" s="23"/>
      <c r="E49" s="61"/>
      <c r="F49" s="20"/>
      <c r="G49" s="33" t="str">
        <f aca="false">IF(E49="","",E49*(1-F49))</f>
        <v/>
      </c>
      <c r="H49" s="23"/>
      <c r="I49" s="33" t="str">
        <f aca="false">IF(OR(G49="",H49=""),"",H49-G49)</f>
        <v/>
      </c>
      <c r="J49" s="60" t="str">
        <f aca="false">IF(OR(G49="",H49=""),"",IF(ABS(I49)&lt;0.01,"✓ OK",IF(I49&lt;0,"⚠ Recebido a menor","↑ Recebido a maior")))</f>
        <v/>
      </c>
    </row>
    <row r="50" customFormat="false" ht="15" hidden="false" customHeight="false" outlineLevel="0" collapsed="false">
      <c r="B50" s="46"/>
      <c r="C50" s="32"/>
      <c r="D50" s="23"/>
      <c r="E50" s="61"/>
      <c r="F50" s="20"/>
      <c r="G50" s="33" t="str">
        <f aca="false">IF(E50="","",E50*(1-F50))</f>
        <v/>
      </c>
      <c r="H50" s="23"/>
      <c r="I50" s="33" t="str">
        <f aca="false">IF(OR(G50="",H50=""),"",H50-G50)</f>
        <v/>
      </c>
      <c r="J50" s="60" t="str">
        <f aca="false">IF(OR(G50="",H50=""),"",IF(ABS(I50)&lt;0.01,"✓ OK",IF(I50&lt;0,"⚠ Recebido a menor","↑ Recebido a maior")))</f>
        <v/>
      </c>
    </row>
    <row r="51" customFormat="false" ht="15" hidden="false" customHeight="false" outlineLevel="0" collapsed="false">
      <c r="B51" s="46"/>
      <c r="C51" s="32"/>
      <c r="D51" s="23"/>
      <c r="E51" s="61"/>
      <c r="F51" s="20"/>
      <c r="G51" s="33" t="str">
        <f aca="false">IF(E51="","",E51*(1-F51))</f>
        <v/>
      </c>
      <c r="H51" s="23"/>
      <c r="I51" s="33" t="str">
        <f aca="false">IF(OR(G51="",H51=""),"",H51-G51)</f>
        <v/>
      </c>
      <c r="J51" s="60" t="str">
        <f aca="false">IF(OR(G51="",H51=""),"",IF(ABS(I51)&lt;0.01,"✓ OK",IF(I51&lt;0,"⚠ Recebido a menor","↑ Recebido a maior")))</f>
        <v/>
      </c>
    </row>
    <row r="52" customFormat="false" ht="15" hidden="false" customHeight="false" outlineLevel="0" collapsed="false">
      <c r="B52" s="46"/>
      <c r="C52" s="32"/>
      <c r="D52" s="23"/>
      <c r="E52" s="61"/>
      <c r="F52" s="20"/>
      <c r="G52" s="33" t="str">
        <f aca="false">IF(E52="","",E52*(1-F52))</f>
        <v/>
      </c>
      <c r="H52" s="23"/>
      <c r="I52" s="33" t="str">
        <f aca="false">IF(OR(G52="",H52=""),"",H52-G52)</f>
        <v/>
      </c>
      <c r="J52" s="60" t="str">
        <f aca="false">IF(OR(G52="",H52=""),"",IF(ABS(I52)&lt;0.01,"✓ OK",IF(I52&lt;0,"⚠ Recebido a menor","↑ Recebido a maior")))</f>
        <v/>
      </c>
    </row>
    <row r="53" customFormat="false" ht="15" hidden="false" customHeight="false" outlineLevel="0" collapsed="false">
      <c r="B53" s="46"/>
      <c r="C53" s="32"/>
      <c r="D53" s="23"/>
      <c r="E53" s="61"/>
      <c r="F53" s="20"/>
      <c r="G53" s="33" t="str">
        <f aca="false">IF(E53="","",E53*(1-F53))</f>
        <v/>
      </c>
      <c r="H53" s="23"/>
      <c r="I53" s="33" t="str">
        <f aca="false">IF(OR(G53="",H53=""),"",H53-G53)</f>
        <v/>
      </c>
      <c r="J53" s="60" t="str">
        <f aca="false">IF(OR(G53="",H53=""),"",IF(ABS(I53)&lt;0.01,"✓ OK",IF(I53&lt;0,"⚠ Recebido a menor","↑ Recebido a maior")))</f>
        <v/>
      </c>
    </row>
    <row r="54" customFormat="false" ht="15" hidden="false" customHeight="false" outlineLevel="0" collapsed="false">
      <c r="B54" s="46"/>
      <c r="C54" s="32"/>
      <c r="D54" s="23"/>
      <c r="E54" s="61"/>
      <c r="F54" s="20"/>
      <c r="G54" s="33" t="str">
        <f aca="false">IF(E54="","",E54*(1-F54))</f>
        <v/>
      </c>
      <c r="H54" s="23"/>
      <c r="I54" s="33" t="str">
        <f aca="false">IF(OR(G54="",H54=""),"",H54-G54)</f>
        <v/>
      </c>
      <c r="J54" s="60" t="str">
        <f aca="false">IF(OR(G54="",H54=""),"",IF(ABS(I54)&lt;0.01,"✓ OK",IF(I54&lt;0,"⚠ Recebido a menor","↑ Recebido a maior")))</f>
        <v/>
      </c>
    </row>
    <row r="55" customFormat="false" ht="15" hidden="false" customHeight="false" outlineLevel="0" collapsed="false">
      <c r="B55" s="46"/>
      <c r="C55" s="32"/>
      <c r="D55" s="23"/>
      <c r="E55" s="61"/>
      <c r="F55" s="20"/>
      <c r="G55" s="33" t="str">
        <f aca="false">IF(E55="","",E55*(1-F55))</f>
        <v/>
      </c>
      <c r="H55" s="23"/>
      <c r="I55" s="33" t="str">
        <f aca="false">IF(OR(G55="",H55=""),"",H55-G55)</f>
        <v/>
      </c>
      <c r="J55" s="60" t="str">
        <f aca="false">IF(OR(G55="",H55=""),"",IF(ABS(I55)&lt;0.01,"✓ OK",IF(I55&lt;0,"⚠ Recebido a menor","↑ Recebido a maior")))</f>
        <v/>
      </c>
    </row>
    <row r="56" customFormat="false" ht="15" hidden="false" customHeight="false" outlineLevel="0" collapsed="false">
      <c r="B56" s="46"/>
      <c r="C56" s="32"/>
      <c r="D56" s="23"/>
      <c r="E56" s="61"/>
      <c r="F56" s="20"/>
      <c r="G56" s="33" t="str">
        <f aca="false">IF(E56="","",E56*(1-F56))</f>
        <v/>
      </c>
      <c r="H56" s="23"/>
      <c r="I56" s="33" t="str">
        <f aca="false">IF(OR(G56="",H56=""),"",H56-G56)</f>
        <v/>
      </c>
      <c r="J56" s="60" t="str">
        <f aca="false">IF(OR(G56="",H56=""),"",IF(ABS(I56)&lt;0.01,"✓ OK",IF(I56&lt;0,"⚠ Recebido a menor","↑ Recebido a maior")))</f>
        <v/>
      </c>
    </row>
    <row r="57" customFormat="false" ht="15" hidden="false" customHeight="false" outlineLevel="0" collapsed="false">
      <c r="B57" s="46"/>
      <c r="C57" s="32"/>
      <c r="D57" s="23"/>
      <c r="E57" s="61"/>
      <c r="F57" s="20"/>
      <c r="G57" s="33" t="str">
        <f aca="false">IF(E57="","",E57*(1-F57))</f>
        <v/>
      </c>
      <c r="H57" s="23"/>
      <c r="I57" s="33" t="str">
        <f aca="false">IF(OR(G57="",H57=""),"",H57-G57)</f>
        <v/>
      </c>
      <c r="J57" s="60" t="str">
        <f aca="false">IF(OR(G57="",H57=""),"",IF(ABS(I57)&lt;0.01,"✓ OK",IF(I57&lt;0,"⚠ Recebido a menor","↑ Recebido a maior")))</f>
        <v/>
      </c>
    </row>
    <row r="58" customFormat="false" ht="15" hidden="false" customHeight="false" outlineLevel="0" collapsed="false">
      <c r="B58" s="46"/>
      <c r="C58" s="32"/>
      <c r="D58" s="23"/>
      <c r="E58" s="61"/>
      <c r="F58" s="20"/>
      <c r="G58" s="33" t="str">
        <f aca="false">IF(E58="","",E58*(1-F58))</f>
        <v/>
      </c>
      <c r="H58" s="23"/>
      <c r="I58" s="33" t="str">
        <f aca="false">IF(OR(G58="",H58=""),"",H58-G58)</f>
        <v/>
      </c>
      <c r="J58" s="60" t="str">
        <f aca="false">IF(OR(G58="",H58=""),"",IF(ABS(I58)&lt;0.01,"✓ OK",IF(I58&lt;0,"⚠ Recebido a menor","↑ Recebido a maior")))</f>
        <v/>
      </c>
    </row>
    <row r="59" customFormat="false" ht="15" hidden="false" customHeight="false" outlineLevel="0" collapsed="false">
      <c r="B59" s="46"/>
      <c r="C59" s="32"/>
      <c r="D59" s="23"/>
      <c r="E59" s="61"/>
      <c r="F59" s="20"/>
      <c r="G59" s="33" t="str">
        <f aca="false">IF(E59="","",E59*(1-F59))</f>
        <v/>
      </c>
      <c r="H59" s="23"/>
      <c r="I59" s="33" t="str">
        <f aca="false">IF(OR(G59="",H59=""),"",H59-G59)</f>
        <v/>
      </c>
      <c r="J59" s="60" t="str">
        <f aca="false">IF(OR(G59="",H59=""),"",IF(ABS(I59)&lt;0.01,"✓ OK",IF(I59&lt;0,"⚠ Recebido a menor","↑ Recebido a maior")))</f>
        <v/>
      </c>
    </row>
    <row r="60" customFormat="false" ht="15" hidden="false" customHeight="false" outlineLevel="0" collapsed="false">
      <c r="B60" s="46"/>
      <c r="C60" s="32"/>
      <c r="D60" s="23"/>
      <c r="E60" s="61"/>
      <c r="F60" s="20"/>
      <c r="G60" s="33" t="str">
        <f aca="false">IF(E60="","",E60*(1-F60))</f>
        <v/>
      </c>
      <c r="H60" s="23"/>
      <c r="I60" s="33" t="str">
        <f aca="false">IF(OR(G60="",H60=""),"",H60-G60)</f>
        <v/>
      </c>
      <c r="J60" s="60" t="str">
        <f aca="false">IF(OR(G60="",H60=""),"",IF(ABS(I60)&lt;0.01,"✓ OK",IF(I60&lt;0,"⚠ Recebido a menor","↑ Recebido a maior")))</f>
        <v/>
      </c>
    </row>
    <row r="61" customFormat="false" ht="15" hidden="false" customHeight="false" outlineLevel="0" collapsed="false">
      <c r="B61" s="46"/>
      <c r="C61" s="32"/>
      <c r="D61" s="23"/>
      <c r="E61" s="61"/>
      <c r="F61" s="20"/>
      <c r="G61" s="33" t="str">
        <f aca="false">IF(E61="","",E61*(1-F61))</f>
        <v/>
      </c>
      <c r="H61" s="23"/>
      <c r="I61" s="33" t="str">
        <f aca="false">IF(OR(G61="",H61=""),"",H61-G61)</f>
        <v/>
      </c>
      <c r="J61" s="60" t="str">
        <f aca="false">IF(OR(G61="",H61=""),"",IF(ABS(I61)&lt;0.01,"✓ OK",IF(I61&lt;0,"⚠ Recebido a menor","↑ Recebido a maior")))</f>
        <v/>
      </c>
    </row>
    <row r="62" customFormat="false" ht="15" hidden="false" customHeight="false" outlineLevel="0" collapsed="false">
      <c r="B62" s="46"/>
      <c r="C62" s="32"/>
      <c r="D62" s="23"/>
      <c r="E62" s="61"/>
      <c r="F62" s="20"/>
      <c r="G62" s="33" t="str">
        <f aca="false">IF(E62="","",E62*(1-F62))</f>
        <v/>
      </c>
      <c r="H62" s="23"/>
      <c r="I62" s="33" t="str">
        <f aca="false">IF(OR(G62="",H62=""),"",H62-G62)</f>
        <v/>
      </c>
      <c r="J62" s="60" t="str">
        <f aca="false">IF(OR(G62="",H62=""),"",IF(ABS(I62)&lt;0.01,"✓ OK",IF(I62&lt;0,"⚠ Recebido a menor","↑ Recebido a maior")))</f>
        <v/>
      </c>
    </row>
    <row r="63" customFormat="false" ht="15" hidden="false" customHeight="false" outlineLevel="0" collapsed="false">
      <c r="B63" s="46"/>
      <c r="C63" s="32"/>
      <c r="D63" s="23"/>
      <c r="E63" s="61"/>
      <c r="F63" s="20"/>
      <c r="G63" s="33" t="str">
        <f aca="false">IF(E63="","",E63*(1-F63))</f>
        <v/>
      </c>
      <c r="H63" s="23"/>
      <c r="I63" s="33" t="str">
        <f aca="false">IF(OR(G63="",H63=""),"",H63-G63)</f>
        <v/>
      </c>
      <c r="J63" s="60" t="str">
        <f aca="false">IF(OR(G63="",H63=""),"",IF(ABS(I63)&lt;0.01,"✓ OK",IF(I63&lt;0,"⚠ Recebido a menor","↑ Recebido a maior")))</f>
        <v/>
      </c>
    </row>
    <row r="64" customFormat="false" ht="15" hidden="false" customHeight="false" outlineLevel="0" collapsed="false">
      <c r="B64" s="46"/>
      <c r="C64" s="32"/>
      <c r="D64" s="23"/>
      <c r="E64" s="61"/>
      <c r="F64" s="20"/>
      <c r="G64" s="33" t="str">
        <f aca="false">IF(E64="","",E64*(1-F64))</f>
        <v/>
      </c>
      <c r="H64" s="23"/>
      <c r="I64" s="33" t="str">
        <f aca="false">IF(OR(G64="",H64=""),"",H64-G64)</f>
        <v/>
      </c>
      <c r="J64" s="60" t="str">
        <f aca="false">IF(OR(G64="",H64=""),"",IF(ABS(I64)&lt;0.01,"✓ OK",IF(I64&lt;0,"⚠ Recebido a menor","↑ Recebido a maior")))</f>
        <v/>
      </c>
    </row>
    <row r="65" customFormat="false" ht="15" hidden="false" customHeight="false" outlineLevel="0" collapsed="false">
      <c r="B65" s="46"/>
      <c r="C65" s="32"/>
      <c r="D65" s="23"/>
      <c r="E65" s="61"/>
      <c r="F65" s="20"/>
      <c r="G65" s="33" t="str">
        <f aca="false">IF(E65="","",E65*(1-F65))</f>
        <v/>
      </c>
      <c r="H65" s="23"/>
      <c r="I65" s="33" t="str">
        <f aca="false">IF(OR(G65="",H65=""),"",H65-G65)</f>
        <v/>
      </c>
      <c r="J65" s="60" t="str">
        <f aca="false">IF(OR(G65="",H65=""),"",IF(ABS(I65)&lt;0.01,"✓ OK",IF(I65&lt;0,"⚠ Recebido a menor","↑ Recebido a maior")))</f>
        <v/>
      </c>
    </row>
    <row r="66" customFormat="false" ht="21.75" hidden="false" customHeight="true" outlineLevel="0" collapsed="false">
      <c r="B66" s="62" t="s">
        <v>253</v>
      </c>
      <c r="C66" s="62"/>
      <c r="D66" s="62"/>
      <c r="E66" s="62"/>
      <c r="F66" s="62"/>
      <c r="G66" s="62"/>
      <c r="H66" s="62"/>
      <c r="I66" s="62"/>
      <c r="J66" s="62"/>
    </row>
    <row r="67" customFormat="false" ht="15" hidden="false" customHeight="false" outlineLevel="0" collapsed="false">
      <c r="B67" s="63" t="s">
        <v>254</v>
      </c>
      <c r="C67" s="64" t="n">
        <f aca="false">SUM(G6:G65)</f>
        <v>675.388</v>
      </c>
      <c r="E67" s="63" t="s">
        <v>255</v>
      </c>
      <c r="F67" s="64" t="n">
        <f aca="false">SUM(H6:H65)</f>
        <v>665.89</v>
      </c>
      <c r="H67" s="63" t="s">
        <v>256</v>
      </c>
      <c r="I67" s="65" t="n">
        <f aca="false">F67-C67</f>
        <v>-9.49799999999993</v>
      </c>
    </row>
  </sheetData>
  <mergeCells count="3">
    <mergeCell ref="B2:I2"/>
    <mergeCell ref="B3:I3"/>
    <mergeCell ref="B66:J66"/>
  </mergeCells>
  <conditionalFormatting sqref="I6:I65">
    <cfRule type="cellIs" priority="2" operator="lessThan" aboveAverage="0" equalAverage="0" bottom="0" percent="0" rank="0" text="" dxfId="0">
      <formula>-0.01</formula>
    </cfRule>
    <cfRule type="cellIs" priority="3" operator="greaterThan" aboveAverage="0" equalAverage="0" bottom="0" percent="0" rank="0" text="" dxfId="2">
      <formula>0.01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14" min="2" style="0" width="12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15" hidden="false" customHeight="false" outlineLevel="0" collapsed="false">
      <c r="A2" s="1"/>
      <c r="B2" s="2" t="s">
        <v>257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customFormat="false" ht="15" hidden="false" customHeight="false" outlineLevel="0" collapsed="false">
      <c r="A3" s="1"/>
      <c r="B3" s="66" t="s">
        <v>258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customFormat="false" ht="15" hidden="false" customHeight="false" outlineLevel="0" collapsed="false">
      <c r="A5" s="1"/>
      <c r="B5" s="67" t="s">
        <v>259</v>
      </c>
      <c r="C5" s="48" t="n">
        <v>4</v>
      </c>
      <c r="D5" s="67" t="s">
        <v>260</v>
      </c>
      <c r="E5" s="68" t="n">
        <f aca="false">'📊 DRE Mensal'!C5</f>
        <v>2026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customFormat="false" ht="3.75" hidden="false" customHeight="true" outlineLevel="0" collapsed="false">
      <c r="A7" s="1"/>
      <c r="B7" s="69"/>
      <c r="C7" s="69"/>
      <c r="D7" s="69"/>
      <c r="E7" s="70"/>
      <c r="F7" s="70"/>
      <c r="G7" s="70"/>
      <c r="H7" s="71"/>
      <c r="I7" s="71"/>
      <c r="J7" s="71"/>
      <c r="K7" s="72"/>
      <c r="L7" s="72"/>
      <c r="M7" s="72"/>
      <c r="N7" s="1"/>
      <c r="O7" s="1"/>
    </row>
    <row r="8" customFormat="false" ht="15" hidden="false" customHeight="false" outlineLevel="0" collapsed="false">
      <c r="A8" s="1"/>
      <c r="B8" s="73" t="s">
        <v>261</v>
      </c>
      <c r="C8" s="73"/>
      <c r="D8" s="73"/>
      <c r="E8" s="73" t="s">
        <v>262</v>
      </c>
      <c r="F8" s="73"/>
      <c r="G8" s="73"/>
      <c r="H8" s="73" t="s">
        <v>263</v>
      </c>
      <c r="I8" s="73"/>
      <c r="J8" s="73"/>
      <c r="K8" s="73" t="s">
        <v>264</v>
      </c>
      <c r="L8" s="73"/>
      <c r="M8" s="73"/>
      <c r="N8" s="1"/>
      <c r="O8" s="1"/>
    </row>
    <row r="9" customFormat="false" ht="15" hidden="false" customHeight="false" outlineLevel="0" collapsed="false">
      <c r="A9" s="1"/>
      <c r="B9" s="74" t="n">
        <f aca="false">INDEX('📊 DRE Mensal'!$C$8:$N$8,$C$5)</f>
        <v>18420</v>
      </c>
      <c r="C9" s="74"/>
      <c r="D9" s="74"/>
      <c r="E9" s="75" t="n">
        <f aca="false">INDEX('📊 DRE Mensal'!$C$34:$N$34,$C$5)</f>
        <v>7768</v>
      </c>
      <c r="F9" s="75"/>
      <c r="G9" s="75"/>
      <c r="H9" s="76" t="n">
        <f aca="false">INDEX('📊 DRE Mensal'!$C$35:$N$35,$C$5)</f>
        <v>0.42171552660152</v>
      </c>
      <c r="I9" s="76"/>
      <c r="J9" s="76"/>
      <c r="K9" s="77" t="n">
        <f aca="false">'💰 Fluxo de Caixa'!F5</f>
        <v>57768</v>
      </c>
      <c r="L9" s="77"/>
      <c r="M9" s="77"/>
      <c r="N9" s="1"/>
      <c r="O9" s="1"/>
    </row>
    <row r="10" customFormat="false" ht="15" hidden="false" customHeight="false" outlineLevel="0" collapsed="false">
      <c r="A10" s="1"/>
      <c r="B10" s="74"/>
      <c r="C10" s="74"/>
      <c r="D10" s="74"/>
      <c r="E10" s="75"/>
      <c r="F10" s="75"/>
      <c r="G10" s="75"/>
      <c r="H10" s="76"/>
      <c r="I10" s="76"/>
      <c r="J10" s="76"/>
      <c r="K10" s="77"/>
      <c r="L10" s="77"/>
      <c r="M10" s="77"/>
      <c r="N10" s="1"/>
      <c r="O10" s="1"/>
    </row>
    <row r="11" customFormat="false" ht="1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customFormat="false" ht="1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customFormat="false" ht="3.75" hidden="false" customHeight="true" outlineLevel="0" collapsed="false">
      <c r="A13" s="1"/>
      <c r="B13" s="69"/>
      <c r="C13" s="69"/>
      <c r="D13" s="69"/>
      <c r="E13" s="70"/>
      <c r="F13" s="70"/>
      <c r="G13" s="70"/>
      <c r="H13" s="78"/>
      <c r="I13" s="78"/>
      <c r="J13" s="78"/>
      <c r="K13" s="79"/>
      <c r="L13" s="79"/>
      <c r="M13" s="79"/>
      <c r="N13" s="1"/>
      <c r="O13" s="1"/>
    </row>
    <row r="14" customFormat="false" ht="15" hidden="false" customHeight="false" outlineLevel="0" collapsed="false">
      <c r="A14" s="1"/>
      <c r="B14" s="73" t="s">
        <v>265</v>
      </c>
      <c r="C14" s="73"/>
      <c r="D14" s="73"/>
      <c r="E14" s="73" t="s">
        <v>266</v>
      </c>
      <c r="F14" s="73"/>
      <c r="G14" s="73"/>
      <c r="H14" s="73" t="s">
        <v>267</v>
      </c>
      <c r="I14" s="73"/>
      <c r="J14" s="73"/>
      <c r="K14" s="73" t="s">
        <v>268</v>
      </c>
      <c r="L14" s="73"/>
      <c r="M14" s="73"/>
      <c r="N14" s="1"/>
      <c r="O14" s="1"/>
    </row>
    <row r="15" customFormat="false" ht="15" hidden="false" customHeight="false" outlineLevel="0" collapsed="false">
      <c r="A15" s="1"/>
      <c r="B15" s="74" t="n">
        <f aca="false">'📊 DRE Mensal'!O8</f>
        <v>18420</v>
      </c>
      <c r="C15" s="74"/>
      <c r="D15" s="74"/>
      <c r="E15" s="75" t="n">
        <f aca="false">'📊 DRE Mensal'!O34</f>
        <v>7768</v>
      </c>
      <c r="F15" s="75"/>
      <c r="G15" s="75"/>
      <c r="H15" s="80" t="n">
        <f aca="false">'📊 DRE Mensal'!O17</f>
        <v>3920</v>
      </c>
      <c r="I15" s="80"/>
      <c r="J15" s="80"/>
      <c r="K15" s="81" t="n">
        <f aca="false">'📊 DRE Mensal'!O26</f>
        <v>800</v>
      </c>
      <c r="L15" s="81"/>
      <c r="M15" s="81"/>
      <c r="N15" s="1"/>
      <c r="O15" s="1"/>
    </row>
    <row r="16" customFormat="false" ht="15" hidden="false" customHeight="false" outlineLevel="0" collapsed="false">
      <c r="A16" s="1"/>
      <c r="B16" s="74"/>
      <c r="C16" s="74"/>
      <c r="D16" s="74"/>
      <c r="E16" s="75"/>
      <c r="F16" s="75"/>
      <c r="G16" s="75"/>
      <c r="H16" s="80"/>
      <c r="I16" s="80"/>
      <c r="J16" s="80"/>
      <c r="K16" s="81"/>
      <c r="L16" s="81"/>
      <c r="M16" s="81"/>
      <c r="N16" s="1"/>
      <c r="O16" s="1"/>
    </row>
    <row r="17" customFormat="false" ht="1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customFormat="false" ht="24.75" hidden="false" customHeight="true" outlineLevel="0" collapsed="false">
      <c r="A19" s="1"/>
      <c r="B19" s="82" t="s">
        <v>269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"/>
    </row>
    <row r="20" customFormat="false" ht="15" hidden="false" customHeight="true" outlineLevel="0" collapsed="false">
      <c r="A20" s="1"/>
      <c r="B20" s="21" t="s">
        <v>157</v>
      </c>
      <c r="C20" s="21" t="s">
        <v>270</v>
      </c>
      <c r="D20" s="21" t="s">
        <v>271</v>
      </c>
      <c r="E20" s="21" t="s">
        <v>272</v>
      </c>
      <c r="F20" s="21"/>
      <c r="G20" s="21"/>
      <c r="H20" s="1"/>
      <c r="I20" s="1"/>
      <c r="J20" s="1"/>
      <c r="K20" s="1"/>
      <c r="L20" s="1"/>
      <c r="M20" s="1"/>
      <c r="N20" s="1"/>
      <c r="O20" s="1"/>
    </row>
    <row r="21" customFormat="false" ht="23.85" hidden="false" customHeight="false" outlineLevel="0" collapsed="false">
      <c r="A21" s="1"/>
      <c r="B21" s="83" t="s">
        <v>43</v>
      </c>
      <c r="C21" s="84" t="n">
        <f aca="false">SUMPRODUCT(('💰 Fluxo de Caixa'!$F$8:$F$207="Vendas - Loja Própria")*(YEAR('💰 Fluxo de Caixa'!$B$8:$B$207)=$E$5)*'💰 Fluxo de Caixa'!$I$8:$I$207)</f>
        <v>10460</v>
      </c>
      <c r="D21" s="85" t="n">
        <f aca="false">IFERROR(C21/SUM($C$21:$C$24),0)</f>
        <v>0.56786102062975</v>
      </c>
      <c r="E21" s="86" t="n">
        <f aca="false">SUMPRODUCT(('💰 Fluxo de Caixa'!$F$8:$F$207="Vendas - Loja Própria")*(YEAR('💰 Fluxo de Caixa'!$B$8:$B$207)=$E$5)*1)</f>
        <v>2</v>
      </c>
      <c r="F21" s="86"/>
      <c r="G21" s="86"/>
      <c r="H21" s="1"/>
      <c r="I21" s="1"/>
      <c r="J21" s="1"/>
      <c r="K21" s="1"/>
      <c r="L21" s="1"/>
      <c r="M21" s="1"/>
      <c r="N21" s="1"/>
      <c r="O21" s="1"/>
    </row>
    <row r="22" customFormat="false" ht="23.85" hidden="false" customHeight="false" outlineLevel="0" collapsed="false">
      <c r="A22" s="1"/>
      <c r="B22" s="83" t="s">
        <v>167</v>
      </c>
      <c r="C22" s="84" t="n">
        <f aca="false">SUMPRODUCT(('💰 Fluxo de Caixa'!$F$8:$F$207="Vendas - Mercado Livre")*(YEAR('💰 Fluxo de Caixa'!$B$8:$B$207)=$E$5)*'💰 Fluxo de Caixa'!$I$8:$I$207)</f>
        <v>6310</v>
      </c>
      <c r="D22" s="85" t="n">
        <f aca="false">IFERROR(C22/SUM($C$21:$C$24),0)</f>
        <v>0.342562432138979</v>
      </c>
      <c r="E22" s="86" t="n">
        <f aca="false">SUMPRODUCT(('💰 Fluxo de Caixa'!$F$8:$F$207="Vendas - Mercado Livre")*(YEAR('💰 Fluxo de Caixa'!$B$8:$B$207)=$E$5)*1)</f>
        <v>2</v>
      </c>
      <c r="F22" s="86"/>
      <c r="G22" s="86"/>
      <c r="H22" s="1"/>
      <c r="I22" s="1"/>
      <c r="J22" s="1"/>
      <c r="K22" s="1"/>
      <c r="L22" s="1"/>
      <c r="M22" s="1"/>
      <c r="N22" s="1"/>
      <c r="O22" s="1"/>
    </row>
    <row r="23" customFormat="false" ht="15" hidden="false" customHeight="false" outlineLevel="0" collapsed="false">
      <c r="A23" s="1"/>
      <c r="B23" s="83" t="s">
        <v>49</v>
      </c>
      <c r="C23" s="84" t="n">
        <f aca="false">SUMPRODUCT(('💰 Fluxo de Caixa'!$F$8:$F$207="Vendas - Shopee")*(YEAR('💰 Fluxo de Caixa'!$B$8:$B$207)=$E$5)*'💰 Fluxo de Caixa'!$I$8:$I$207)</f>
        <v>1650</v>
      </c>
      <c r="D23" s="85" t="n">
        <f aca="false">IFERROR(C23/SUM($C$21:$C$24),0)</f>
        <v>0.0895765472312704</v>
      </c>
      <c r="E23" s="86" t="n">
        <f aca="false">SUMPRODUCT(('💰 Fluxo de Caixa'!$F$8:$F$207="Vendas - Shopee")*(YEAR('💰 Fluxo de Caixa'!$B$8:$B$207)=$E$5)*1)</f>
        <v>1</v>
      </c>
      <c r="F23" s="86"/>
      <c r="G23" s="86"/>
      <c r="H23" s="1"/>
      <c r="I23" s="1"/>
      <c r="J23" s="1"/>
      <c r="K23" s="1"/>
      <c r="L23" s="1"/>
      <c r="M23" s="1"/>
      <c r="N23" s="1"/>
      <c r="O23" s="1"/>
    </row>
    <row r="24" customFormat="false" ht="35.05" hidden="false" customHeight="false" outlineLevel="0" collapsed="false">
      <c r="A24" s="1"/>
      <c r="B24" s="83" t="s">
        <v>273</v>
      </c>
      <c r="C24" s="84" t="n">
        <f aca="false">SUMPRODUCT(('💰 Fluxo de Caixa'!$F$8:$F$207="Vendas - Outros Marketplaces")*(YEAR('💰 Fluxo de Caixa'!$B$8:$B$207)=$E$5)*'💰 Fluxo de Caixa'!$I$8:$I$207)</f>
        <v>0</v>
      </c>
      <c r="D24" s="85" t="n">
        <f aca="false">IFERROR(C24/SUM($C$21:$C$24),0)</f>
        <v>0</v>
      </c>
      <c r="E24" s="86" t="n">
        <f aca="false">SUMPRODUCT(('💰 Fluxo de Caixa'!$F$8:$F$207="Vendas - Outros Marketplaces")*(YEAR('💰 Fluxo de Caixa'!$B$8:$B$207)=$E$5)*1)</f>
        <v>0</v>
      </c>
      <c r="F24" s="86"/>
      <c r="G24" s="86"/>
      <c r="H24" s="1"/>
      <c r="I24" s="1"/>
      <c r="J24" s="1"/>
      <c r="K24" s="1"/>
      <c r="L24" s="1"/>
      <c r="M24" s="1"/>
      <c r="N24" s="1"/>
      <c r="O24" s="1"/>
    </row>
    <row r="25" customFormat="false" ht="15" hidden="false" customHeight="false" outlineLevel="0" collapsed="false">
      <c r="A25" s="1"/>
      <c r="B25" s="87" t="s">
        <v>274</v>
      </c>
      <c r="C25" s="88" t="n">
        <f aca="false">SUM(C21:C24)</f>
        <v>18420</v>
      </c>
      <c r="D25" s="89" t="s">
        <v>275</v>
      </c>
      <c r="E25" s="90" t="n">
        <f aca="false">SUM(E21:E24)</f>
        <v>5</v>
      </c>
      <c r="F25" s="90"/>
      <c r="G25" s="90"/>
      <c r="H25" s="1"/>
      <c r="I25" s="1"/>
      <c r="J25" s="1"/>
      <c r="K25" s="1"/>
      <c r="L25" s="1"/>
      <c r="M25" s="1"/>
      <c r="N25" s="1"/>
      <c r="O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customFormat="false" ht="15" hidden="false" customHeight="true" outlineLevel="0" collapsed="false">
      <c r="A28" s="1"/>
      <c r="B28" s="91" t="s">
        <v>276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1"/>
    </row>
    <row r="29" customFormat="false" ht="15" hidden="false" customHeight="false" outlineLevel="0" collapsed="false">
      <c r="A29" s="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1"/>
    </row>
    <row r="30" customFormat="false" ht="15" hidden="false" customHeight="false" outlineLevel="0" collapsed="false">
      <c r="A30" s="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1"/>
    </row>
    <row r="31" customFormat="false" ht="15" hidden="false" customHeight="false" outlineLevel="0" collapsed="false">
      <c r="A31" s="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</sheetData>
  <mergeCells count="26">
    <mergeCell ref="B2:N2"/>
    <mergeCell ref="B3:N3"/>
    <mergeCell ref="B8:D8"/>
    <mergeCell ref="E8:G8"/>
    <mergeCell ref="H8:J8"/>
    <mergeCell ref="K8:M8"/>
    <mergeCell ref="B9:D10"/>
    <mergeCell ref="E9:G10"/>
    <mergeCell ref="H9:J10"/>
    <mergeCell ref="K9:M10"/>
    <mergeCell ref="B14:D14"/>
    <mergeCell ref="E14:G14"/>
    <mergeCell ref="H14:J14"/>
    <mergeCell ref="K14:M14"/>
    <mergeCell ref="B15:D16"/>
    <mergeCell ref="E15:G16"/>
    <mergeCell ref="H15:J16"/>
    <mergeCell ref="K15:M16"/>
    <mergeCell ref="B19:N19"/>
    <mergeCell ref="E20:G20"/>
    <mergeCell ref="E21:G21"/>
    <mergeCell ref="E22:G22"/>
    <mergeCell ref="E23:G23"/>
    <mergeCell ref="E24:G24"/>
    <mergeCell ref="E25:G25"/>
    <mergeCell ref="B28:N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2026-05-03T21:13:44Z</dcterms:created>
  <dc:creator>openpyxl</dc:creator>
  <dc:description/>
  <dc:language>en-US</dc:language>
  <cp:lastModifiedBy/>
  <dcterms:modified xsi:type="dcterms:W3CDTF">2026-05-03T21:13:44Z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